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otht\Downloads\"/>
    </mc:Choice>
  </mc:AlternateContent>
  <xr:revisionPtr revIDLastSave="0" documentId="13_ncr:1_{D1C83B2D-51F5-4B49-9E1D-471DA11D9E74}" xr6:coauthVersionLast="47" xr6:coauthVersionMax="47" xr10:uidLastSave="{00000000-0000-0000-0000-000000000000}"/>
  <bookViews>
    <workbookView xWindow="-108" yWindow="-108" windowWidth="23256" windowHeight="12456" tabRatio="950" xr2:uid="{00000000-000D-0000-FFFF-FFFF00000000}"/>
  </bookViews>
  <sheets>
    <sheet name="Fmagas" sheetId="1" r:id="rId1"/>
    <sheet name="Ftávol" sheetId="2" r:id="rId2"/>
    <sheet name="Fsúly" sheetId="3" r:id="rId3"/>
    <sheet name="Fdiszkosz" sheetId="4" r:id="rId4"/>
    <sheet name="Fgerely" sheetId="5" r:id="rId5"/>
    <sheet name="F4x1500" sheetId="6" r:id="rId6"/>
    <sheet name="Fsvédváltó" sheetId="7" r:id="rId7"/>
    <sheet name="Lmagas" sheetId="8" r:id="rId8"/>
    <sheet name="Ltávol" sheetId="9" r:id="rId9"/>
    <sheet name="Lsúly" sheetId="10" r:id="rId10"/>
    <sheet name="Ldiszkosz" sheetId="11" r:id="rId11"/>
    <sheet name="Lgerely" sheetId="12" r:id="rId12"/>
    <sheet name="L4x800" sheetId="13" r:id="rId13"/>
    <sheet name="Lsvédváltó" sheetId="14" r:id="rId14"/>
  </sheets>
  <calcPr calcId="191029"/>
</workbook>
</file>

<file path=xl/calcChain.xml><?xml version="1.0" encoding="utf-8"?>
<calcChain xmlns="http://schemas.openxmlformats.org/spreadsheetml/2006/main">
  <c r="H88" i="7" l="1"/>
  <c r="H95" i="7"/>
  <c r="H102" i="7"/>
  <c r="H53" i="14"/>
  <c r="H46" i="14"/>
  <c r="H39" i="14"/>
  <c r="H32" i="14"/>
  <c r="H25" i="14"/>
  <c r="H18" i="14"/>
  <c r="H11" i="14"/>
  <c r="H4" i="14"/>
  <c r="H32" i="13"/>
  <c r="G32" i="13" s="1"/>
  <c r="H25" i="13"/>
  <c r="H18" i="13"/>
  <c r="H11" i="13"/>
  <c r="H4" i="13"/>
  <c r="H25" i="12"/>
  <c r="H24" i="12"/>
  <c r="H23" i="12"/>
  <c r="H22" i="12"/>
  <c r="H21" i="12"/>
  <c r="H17" i="12"/>
  <c r="H16" i="12"/>
  <c r="H15" i="12"/>
  <c r="H14" i="12"/>
  <c r="H13" i="12"/>
  <c r="H9" i="12"/>
  <c r="H8" i="12"/>
  <c r="H7" i="12"/>
  <c r="H6" i="12"/>
  <c r="H5" i="12"/>
  <c r="H33" i="11"/>
  <c r="H32" i="11"/>
  <c r="H31" i="11"/>
  <c r="H30" i="11"/>
  <c r="H29" i="11"/>
  <c r="H25" i="11"/>
  <c r="H24" i="11"/>
  <c r="H23" i="11"/>
  <c r="H22" i="11"/>
  <c r="H21" i="11"/>
  <c r="H17" i="11"/>
  <c r="H16" i="11"/>
  <c r="H15" i="11"/>
  <c r="H14" i="11"/>
  <c r="H13" i="11"/>
  <c r="H9" i="11"/>
  <c r="H8" i="11"/>
  <c r="H7" i="11"/>
  <c r="H6" i="11"/>
  <c r="H5" i="11"/>
  <c r="H57" i="10"/>
  <c r="H56" i="10"/>
  <c r="H55" i="10"/>
  <c r="H54" i="10"/>
  <c r="H53" i="10"/>
  <c r="H49" i="10"/>
  <c r="H48" i="10"/>
  <c r="H47" i="10"/>
  <c r="H46" i="10"/>
  <c r="H45" i="10"/>
  <c r="H41" i="10"/>
  <c r="H40" i="10"/>
  <c r="H39" i="10"/>
  <c r="H38" i="10"/>
  <c r="H37" i="10"/>
  <c r="H33" i="10"/>
  <c r="H32" i="10"/>
  <c r="H31" i="10"/>
  <c r="H30" i="10"/>
  <c r="H29" i="10"/>
  <c r="H25" i="10"/>
  <c r="H24" i="10"/>
  <c r="H23" i="10"/>
  <c r="H22" i="10"/>
  <c r="H21" i="10"/>
  <c r="H17" i="10"/>
  <c r="H16" i="10"/>
  <c r="H15" i="10"/>
  <c r="H14" i="10"/>
  <c r="H13" i="10"/>
  <c r="H9" i="10"/>
  <c r="H8" i="10"/>
  <c r="H7" i="10"/>
  <c r="H6" i="10"/>
  <c r="H5" i="10"/>
  <c r="H49" i="9"/>
  <c r="H48" i="9"/>
  <c r="H47" i="9"/>
  <c r="H46" i="9"/>
  <c r="H45" i="9"/>
  <c r="H41" i="9"/>
  <c r="H40" i="9"/>
  <c r="H39" i="9"/>
  <c r="H38" i="9"/>
  <c r="H37" i="9"/>
  <c r="H33" i="9"/>
  <c r="H32" i="9"/>
  <c r="H31" i="9"/>
  <c r="H30" i="9"/>
  <c r="H29" i="9"/>
  <c r="H25" i="9"/>
  <c r="H24" i="9"/>
  <c r="H23" i="9"/>
  <c r="H22" i="9"/>
  <c r="H21" i="9"/>
  <c r="H17" i="9"/>
  <c r="H16" i="9"/>
  <c r="H15" i="9"/>
  <c r="H14" i="9"/>
  <c r="H13" i="9"/>
  <c r="H9" i="9"/>
  <c r="H8" i="9"/>
  <c r="H7" i="9"/>
  <c r="H6" i="9"/>
  <c r="H5" i="9"/>
  <c r="R17" i="8"/>
  <c r="R16" i="8"/>
  <c r="R15" i="8"/>
  <c r="R14" i="8"/>
  <c r="R13" i="8"/>
  <c r="R9" i="8"/>
  <c r="R8" i="8"/>
  <c r="R7" i="8"/>
  <c r="R6" i="8"/>
  <c r="R5" i="8"/>
  <c r="P2" i="8"/>
  <c r="O2" i="8"/>
  <c r="N2" i="8"/>
  <c r="M2" i="8"/>
  <c r="L2" i="8"/>
  <c r="K2" i="8"/>
  <c r="J2" i="8"/>
  <c r="I2" i="8"/>
  <c r="H2" i="8"/>
  <c r="G2" i="8"/>
  <c r="F2" i="8"/>
  <c r="E2" i="8"/>
  <c r="H81" i="7"/>
  <c r="H74" i="7"/>
  <c r="H67" i="7"/>
  <c r="H60" i="7"/>
  <c r="H53" i="7"/>
  <c r="H46" i="7"/>
  <c r="H39" i="7"/>
  <c r="H32" i="7"/>
  <c r="H25" i="7"/>
  <c r="H18" i="7"/>
  <c r="H11" i="7"/>
  <c r="H4" i="7"/>
  <c r="H39" i="6"/>
  <c r="H32" i="6"/>
  <c r="H25" i="6"/>
  <c r="H18" i="6"/>
  <c r="H11" i="6"/>
  <c r="H4" i="6"/>
  <c r="H41" i="5"/>
  <c r="H40" i="5"/>
  <c r="H39" i="5"/>
  <c r="H38" i="5"/>
  <c r="H37" i="5"/>
  <c r="H33" i="5"/>
  <c r="H32" i="5"/>
  <c r="H31" i="5"/>
  <c r="H30" i="5"/>
  <c r="H29" i="5"/>
  <c r="H25" i="5"/>
  <c r="H24" i="5"/>
  <c r="H23" i="5"/>
  <c r="H22" i="5"/>
  <c r="H21" i="5"/>
  <c r="H17" i="5"/>
  <c r="H16" i="5"/>
  <c r="H15" i="5"/>
  <c r="H14" i="5"/>
  <c r="H13" i="5"/>
  <c r="H9" i="5"/>
  <c r="H8" i="5"/>
  <c r="H7" i="5"/>
  <c r="H6" i="5"/>
  <c r="H5" i="5"/>
  <c r="H33" i="4"/>
  <c r="H32" i="4"/>
  <c r="H31" i="4"/>
  <c r="H30" i="4"/>
  <c r="H29" i="4"/>
  <c r="H25" i="4"/>
  <c r="H24" i="4"/>
  <c r="H23" i="4"/>
  <c r="H22" i="4"/>
  <c r="H21" i="4"/>
  <c r="H17" i="4"/>
  <c r="H16" i="4"/>
  <c r="H15" i="4"/>
  <c r="H14" i="4"/>
  <c r="H13" i="4"/>
  <c r="H9" i="4"/>
  <c r="H8" i="4"/>
  <c r="H7" i="4"/>
  <c r="H6" i="4"/>
  <c r="H5" i="4"/>
  <c r="H65" i="3"/>
  <c r="H64" i="3"/>
  <c r="H63" i="3"/>
  <c r="H62" i="3"/>
  <c r="H61" i="3"/>
  <c r="H57" i="3"/>
  <c r="H56" i="3"/>
  <c r="H55" i="3"/>
  <c r="H54" i="3"/>
  <c r="H53" i="3"/>
  <c r="H49" i="3"/>
  <c r="H48" i="3"/>
  <c r="H47" i="3"/>
  <c r="H46" i="3"/>
  <c r="H45" i="3"/>
  <c r="H41" i="3"/>
  <c r="H40" i="3"/>
  <c r="H39" i="3"/>
  <c r="H38" i="3"/>
  <c r="H37" i="3"/>
  <c r="H33" i="3"/>
  <c r="H32" i="3"/>
  <c r="H31" i="3"/>
  <c r="H30" i="3"/>
  <c r="H29" i="3"/>
  <c r="H25" i="3"/>
  <c r="H24" i="3"/>
  <c r="H23" i="3"/>
  <c r="H22" i="3"/>
  <c r="H21" i="3"/>
  <c r="H17" i="3"/>
  <c r="H16" i="3"/>
  <c r="H15" i="3"/>
  <c r="H14" i="3"/>
  <c r="H13" i="3"/>
  <c r="H9" i="3"/>
  <c r="H8" i="3"/>
  <c r="H7" i="3"/>
  <c r="H6" i="3"/>
  <c r="H5" i="3"/>
  <c r="H73" i="2"/>
  <c r="H72" i="2"/>
  <c r="H71" i="2"/>
  <c r="H70" i="2"/>
  <c r="H69" i="2"/>
  <c r="H65" i="2"/>
  <c r="H64" i="2"/>
  <c r="H63" i="2"/>
  <c r="H62" i="2"/>
  <c r="H61" i="2"/>
  <c r="H57" i="2"/>
  <c r="H56" i="2"/>
  <c r="H55" i="2"/>
  <c r="H54" i="2"/>
  <c r="H53" i="2"/>
  <c r="H49" i="2"/>
  <c r="H48" i="2"/>
  <c r="H47" i="2"/>
  <c r="H46" i="2"/>
  <c r="H45" i="2"/>
  <c r="H41" i="2"/>
  <c r="H40" i="2"/>
  <c r="H39" i="2"/>
  <c r="H38" i="2"/>
  <c r="H37" i="2"/>
  <c r="H33" i="2"/>
  <c r="H32" i="2"/>
  <c r="H31" i="2"/>
  <c r="H30" i="2"/>
  <c r="H29" i="2"/>
  <c r="H25" i="2"/>
  <c r="H24" i="2"/>
  <c r="H23" i="2"/>
  <c r="H22" i="2"/>
  <c r="H21" i="2"/>
  <c r="H17" i="2"/>
  <c r="H16" i="2"/>
  <c r="H15" i="2"/>
  <c r="H14" i="2"/>
  <c r="H13" i="2"/>
  <c r="H9" i="2"/>
  <c r="H8" i="2"/>
  <c r="H7" i="2"/>
  <c r="H6" i="2"/>
  <c r="H5" i="2"/>
  <c r="R57" i="1"/>
  <c r="R56" i="1"/>
  <c r="R55" i="1"/>
  <c r="R54" i="1"/>
  <c r="R53" i="1"/>
  <c r="R49" i="1"/>
  <c r="R48" i="1"/>
  <c r="R47" i="1"/>
  <c r="R46" i="1"/>
  <c r="R45" i="1"/>
  <c r="R41" i="1"/>
  <c r="R40" i="1"/>
  <c r="R39" i="1"/>
  <c r="R38" i="1"/>
  <c r="R37" i="1"/>
  <c r="R33" i="1"/>
  <c r="R32" i="1"/>
  <c r="R31" i="1"/>
  <c r="R30" i="1"/>
  <c r="R29" i="1"/>
  <c r="R25" i="1"/>
  <c r="R24" i="1"/>
  <c r="R23" i="1"/>
  <c r="R22" i="1"/>
  <c r="R21" i="1"/>
  <c r="R17" i="1"/>
  <c r="R16" i="1"/>
  <c r="R15" i="1"/>
  <c r="R14" i="1"/>
  <c r="R13" i="1"/>
  <c r="R8" i="1"/>
  <c r="R7" i="1"/>
  <c r="R6" i="1"/>
  <c r="R5" i="1"/>
  <c r="P2" i="1"/>
  <c r="O2" i="1"/>
  <c r="N2" i="1"/>
  <c r="M2" i="1"/>
  <c r="L2" i="1"/>
  <c r="K2" i="1"/>
  <c r="J2" i="1"/>
  <c r="I2" i="1"/>
  <c r="H2" i="1"/>
  <c r="G2" i="1"/>
  <c r="F2" i="1"/>
  <c r="E2" i="1"/>
  <c r="G102" i="7" l="1"/>
  <c r="G95" i="7"/>
  <c r="G88" i="7"/>
  <c r="I4" i="2"/>
  <c r="I60" i="3"/>
  <c r="I68" i="2"/>
  <c r="S12" i="1"/>
  <c r="G25" i="13"/>
  <c r="G18" i="14"/>
  <c r="G46" i="14"/>
  <c r="S52" i="1"/>
  <c r="T52" i="1" s="1"/>
  <c r="I44" i="2"/>
  <c r="I36" i="5"/>
  <c r="G25" i="6"/>
  <c r="I36" i="2"/>
  <c r="I20" i="4"/>
  <c r="I28" i="9"/>
  <c r="I28" i="10"/>
  <c r="I4" i="12"/>
  <c r="I36" i="3"/>
  <c r="I4" i="5"/>
  <c r="I20" i="5"/>
  <c r="I36" i="9"/>
  <c r="S44" i="1"/>
  <c r="I28" i="3"/>
  <c r="I52" i="10"/>
  <c r="I12" i="11"/>
  <c r="S20" i="1"/>
  <c r="I12" i="2"/>
  <c r="I4" i="3"/>
  <c r="I4" i="10"/>
  <c r="I28" i="11"/>
  <c r="I20" i="12"/>
  <c r="G4" i="13"/>
  <c r="G25" i="14"/>
  <c r="G53" i="14"/>
  <c r="S12" i="8"/>
  <c r="I4" i="9"/>
  <c r="I12" i="10"/>
  <c r="I28" i="4"/>
  <c r="I12" i="5"/>
  <c r="G18" i="7"/>
  <c r="I44" i="10"/>
  <c r="I4" i="11"/>
  <c r="I20" i="11"/>
  <c r="I12" i="12"/>
  <c r="G11" i="13"/>
  <c r="G4" i="14"/>
  <c r="G32" i="14"/>
  <c r="S4" i="8"/>
  <c r="I20" i="10"/>
  <c r="G18" i="13"/>
  <c r="G11" i="14"/>
  <c r="G39" i="14"/>
  <c r="G39" i="7"/>
  <c r="S28" i="1"/>
  <c r="I20" i="2"/>
  <c r="I52" i="2"/>
  <c r="I12" i="3"/>
  <c r="I44" i="3"/>
  <c r="I4" i="4"/>
  <c r="I28" i="5"/>
  <c r="G32" i="6"/>
  <c r="G4" i="7"/>
  <c r="G53" i="7"/>
  <c r="G67" i="7"/>
  <c r="G11" i="7"/>
  <c r="G74" i="7"/>
  <c r="G60" i="7"/>
  <c r="G25" i="7"/>
  <c r="S4" i="1"/>
  <c r="S36" i="1"/>
  <c r="I28" i="2"/>
  <c r="I60" i="2"/>
  <c r="J60" i="2" s="1"/>
  <c r="I20" i="3"/>
  <c r="I52" i="3"/>
  <c r="G11" i="6"/>
  <c r="G4" i="6"/>
  <c r="G18" i="6"/>
  <c r="G81" i="7"/>
  <c r="G46" i="7"/>
  <c r="I12" i="4"/>
  <c r="G39" i="6"/>
  <c r="G32" i="7"/>
  <c r="I12" i="9"/>
  <c r="I44" i="9"/>
  <c r="I36" i="10"/>
  <c r="I20" i="9"/>
  <c r="J4" i="12" l="1"/>
  <c r="J4" i="11"/>
  <c r="J20" i="11"/>
  <c r="J28" i="11"/>
  <c r="J12" i="11"/>
  <c r="J4" i="3"/>
  <c r="J20" i="12"/>
  <c r="J20" i="9"/>
  <c r="J36" i="10"/>
  <c r="J4" i="9"/>
  <c r="J12" i="12"/>
  <c r="J36" i="5"/>
  <c r="T4" i="1"/>
  <c r="J12" i="5"/>
  <c r="J28" i="5"/>
  <c r="J4" i="4"/>
  <c r="J44" i="2"/>
  <c r="J4" i="10"/>
  <c r="T44" i="1"/>
  <c r="J68" i="2"/>
  <c r="J44" i="10"/>
  <c r="J12" i="4"/>
  <c r="J28" i="9"/>
  <c r="J4" i="5"/>
  <c r="J28" i="4"/>
  <c r="J28" i="2"/>
  <c r="J36" i="2"/>
  <c r="J44" i="3"/>
  <c r="T28" i="1"/>
  <c r="T12" i="8"/>
  <c r="J60" i="3"/>
  <c r="J36" i="3"/>
  <c r="J28" i="10"/>
  <c r="J52" i="3"/>
  <c r="T12" i="1"/>
  <c r="J12" i="3"/>
  <c r="T4" i="8"/>
  <c r="J20" i="4"/>
  <c r="J12" i="2"/>
  <c r="J12" i="9"/>
  <c r="J12" i="10"/>
  <c r="J20" i="2"/>
  <c r="J20" i="10"/>
  <c r="J44" i="9"/>
  <c r="J52" i="10"/>
  <c r="J36" i="9"/>
  <c r="J20" i="3"/>
  <c r="T36" i="1"/>
  <c r="J52" i="2"/>
  <c r="J4" i="2"/>
  <c r="J28" i="3"/>
  <c r="T20" i="1"/>
  <c r="J20" i="5"/>
</calcChain>
</file>

<file path=xl/sharedStrings.xml><?xml version="1.0" encoding="utf-8"?>
<sst xmlns="http://schemas.openxmlformats.org/spreadsheetml/2006/main" count="1730" uniqueCount="784">
  <si>
    <t>Magasugrás fiú - V-VI. kcs.</t>
  </si>
  <si>
    <t>Sorsz</t>
  </si>
  <si>
    <t>Csapat/versenyzők</t>
  </si>
  <si>
    <t>Szül.év</t>
  </si>
  <si>
    <t>Eredm</t>
  </si>
  <si>
    <t>Érték</t>
  </si>
  <si>
    <t>Átlag</t>
  </si>
  <si>
    <t>Helyezés</t>
  </si>
  <si>
    <t>Gyula, Gyulai Erkel Ferenc Gimn. és Koll.</t>
  </si>
  <si>
    <t>Gerebenics Róbert</t>
  </si>
  <si>
    <t>2007</t>
  </si>
  <si>
    <t>1,75</t>
  </si>
  <si>
    <t>Hegyi Botond</t>
  </si>
  <si>
    <t>1,65</t>
  </si>
  <si>
    <t>Nagy Gábor</t>
  </si>
  <si>
    <t>2010</t>
  </si>
  <si>
    <t>1,55</t>
  </si>
  <si>
    <t>Árpási Zoltán</t>
  </si>
  <si>
    <t>2008</t>
  </si>
  <si>
    <t>1,80</t>
  </si>
  <si>
    <t>Debreczeni Szabolcs</t>
  </si>
  <si>
    <t>1,45</t>
  </si>
  <si>
    <t>Testnevelő:</t>
  </si>
  <si>
    <t>Czoldánné Domokos Györgyi</t>
  </si>
  <si>
    <t>Békéscsaba, Békéscsabai SZC Nemes Tihamér Tech. és Koll. "A"</t>
  </si>
  <si>
    <t>Csizmadia Bence</t>
  </si>
  <si>
    <t>2009</t>
  </si>
  <si>
    <t>1,60</t>
  </si>
  <si>
    <t>Czinkóczky Dániel</t>
  </si>
  <si>
    <t>Kovács Csaba</t>
  </si>
  <si>
    <t>Nagy Gergő</t>
  </si>
  <si>
    <t>Rossu Zoltán</t>
  </si>
  <si>
    <t>2006</t>
  </si>
  <si>
    <t>0,00</t>
  </si>
  <si>
    <t>Drotár János</t>
  </si>
  <si>
    <t>Békéscsaba, Békéscsabai Andrássy Gyula Gimn. és Koll.</t>
  </si>
  <si>
    <t>Bogár Norbert</t>
  </si>
  <si>
    <t>1,70</t>
  </si>
  <si>
    <t>Szűcs Benkő</t>
  </si>
  <si>
    <t>1,50</t>
  </si>
  <si>
    <t>Lagzi Ádám</t>
  </si>
  <si>
    <t>2011</t>
  </si>
  <si>
    <t>Tóth Alex</t>
  </si>
  <si>
    <t>1,40</t>
  </si>
  <si>
    <t>Gubucz Ákos</t>
  </si>
  <si>
    <t>Pap Csaba</t>
  </si>
  <si>
    <t>Békéscsaba, Békéscsabai SZC Nemes Tihamér Tech. és Koll. "B"</t>
  </si>
  <si>
    <t>Csiki Roland</t>
  </si>
  <si>
    <t>Kurucz Péter</t>
  </si>
  <si>
    <t>Molcsán Szabolcs</t>
  </si>
  <si>
    <t>Seres Lóránt</t>
  </si>
  <si>
    <t>Orosháza, Orosházi Táncsics Mihály Gimn. és Koll.</t>
  </si>
  <si>
    <t>Bánki-Horváth Gergely</t>
  </si>
  <si>
    <t>Nagy Imre Erik</t>
  </si>
  <si>
    <t>Varga Valter</t>
  </si>
  <si>
    <t>Prozlik Patrik</t>
  </si>
  <si>
    <t>Gordos Dominik</t>
  </si>
  <si>
    <t>Marosvölgyiné Rideg Ágnes</t>
  </si>
  <si>
    <t>Békéscsaba, Békéscsabai SZC Trefort Ágoston Tech., SZKI és Koll.</t>
  </si>
  <si>
    <t>Hegedűs Tibor</t>
  </si>
  <si>
    <t>Hudák Nándor</t>
  </si>
  <si>
    <t>Remeczki István</t>
  </si>
  <si>
    <t>Laurinyecz Szilveszter</t>
  </si>
  <si>
    <t>Bagi Árpád, Kurucsó Péter</t>
  </si>
  <si>
    <t>Békéscsaba, Békéscsabai SZC Vásárhelyi Pál Tech.</t>
  </si>
  <si>
    <t>Borbola Csaba</t>
  </si>
  <si>
    <t>Horváth Bálint</t>
  </si>
  <si>
    <t>Nagy Patrik</t>
  </si>
  <si>
    <t>Restye Zsombor</t>
  </si>
  <si>
    <t>1,35</t>
  </si>
  <si>
    <t>Timár Tamás</t>
  </si>
  <si>
    <t>1,30</t>
  </si>
  <si>
    <t>Távolugrás fiú - V-VI. kcs.</t>
  </si>
  <si>
    <t>I</t>
  </si>
  <si>
    <t>II.</t>
  </si>
  <si>
    <t>III.</t>
  </si>
  <si>
    <t>Legjobb</t>
  </si>
  <si>
    <t>Orosháza, Orosházi Táncsics Mihály Gimn. és Koll. "A"</t>
  </si>
  <si>
    <t>X</t>
  </si>
  <si>
    <t>6,04</t>
  </si>
  <si>
    <t>5,80</t>
  </si>
  <si>
    <t>Laszli Máté</t>
  </si>
  <si>
    <t>4,87</t>
  </si>
  <si>
    <t>5,12</t>
  </si>
  <si>
    <t>5,96</t>
  </si>
  <si>
    <t>5,48</t>
  </si>
  <si>
    <t>5,41</t>
  </si>
  <si>
    <t>5,58</t>
  </si>
  <si>
    <t>5,45</t>
  </si>
  <si>
    <t>5,37</t>
  </si>
  <si>
    <t>Békéscsaba, Békéscsabai Belvárosi ÁI. és Gimn.</t>
  </si>
  <si>
    <t>Beliczai Balázs</t>
  </si>
  <si>
    <t>5,34</t>
  </si>
  <si>
    <t>5,08</t>
  </si>
  <si>
    <t>5,27</t>
  </si>
  <si>
    <t>Durkó Szilárd</t>
  </si>
  <si>
    <t>5,97</t>
  </si>
  <si>
    <t>5,70</t>
  </si>
  <si>
    <t>5,73</t>
  </si>
  <si>
    <t>Fábián Áron</t>
  </si>
  <si>
    <t>6,00</t>
  </si>
  <si>
    <t>Nagy Ákos Zoltán</t>
  </si>
  <si>
    <t>4,74</t>
  </si>
  <si>
    <t>4,40</t>
  </si>
  <si>
    <t>Nagy-Benedek Olivér</t>
  </si>
  <si>
    <t>3,92</t>
  </si>
  <si>
    <t>4,85</t>
  </si>
  <si>
    <t>Osgyán Bence</t>
  </si>
  <si>
    <t>Kiss Attila</t>
  </si>
  <si>
    <t>5,14</t>
  </si>
  <si>
    <t>5,55</t>
  </si>
  <si>
    <t>5,38</t>
  </si>
  <si>
    <t>4,78</t>
  </si>
  <si>
    <t>4,63</t>
  </si>
  <si>
    <t>Kovács Zalán</t>
  </si>
  <si>
    <t>5,17</t>
  </si>
  <si>
    <t>5,23</t>
  </si>
  <si>
    <t>Kis János</t>
  </si>
  <si>
    <t>3,84</t>
  </si>
  <si>
    <t>4,92</t>
  </si>
  <si>
    <t>5,07</t>
  </si>
  <si>
    <t>Gyula, Gyulai Római Kat. Gimn., ÁI., Ó. és Koll.</t>
  </si>
  <si>
    <t>Törteli Balázs</t>
  </si>
  <si>
    <t>4,91</t>
  </si>
  <si>
    <t>4,80</t>
  </si>
  <si>
    <t>5,03</t>
  </si>
  <si>
    <t>Horváth Márkó</t>
  </si>
  <si>
    <t>4,97</t>
  </si>
  <si>
    <t>Kriszte Zsolt</t>
  </si>
  <si>
    <t>3,52</t>
  </si>
  <si>
    <t>4,24</t>
  </si>
  <si>
    <t>4,32</t>
  </si>
  <si>
    <t>Kamarás Norbert</t>
  </si>
  <si>
    <t>4,98</t>
  </si>
  <si>
    <t>5,02</t>
  </si>
  <si>
    <t>4,93</t>
  </si>
  <si>
    <t>Rotics Junior</t>
  </si>
  <si>
    <t>4,70</t>
  </si>
  <si>
    <t>4,82</t>
  </si>
  <si>
    <t>Puczkó Annamária</t>
  </si>
  <si>
    <t>Orosháza, Orosházi Táncsics Mihály Gimn. és Koll. "B"</t>
  </si>
  <si>
    <t>Csizmadia Áron</t>
  </si>
  <si>
    <t>4,83</t>
  </si>
  <si>
    <t>4,81</t>
  </si>
  <si>
    <t>Pásztor Milán</t>
  </si>
  <si>
    <t>Németh Máté</t>
  </si>
  <si>
    <t>5,15</t>
  </si>
  <si>
    <t>Varga Marcell</t>
  </si>
  <si>
    <t>5,32</t>
  </si>
  <si>
    <t>Verók Kevin</t>
  </si>
  <si>
    <t>4,72</t>
  </si>
  <si>
    <t>Bátori Zoltán</t>
  </si>
  <si>
    <t>4,45</t>
  </si>
  <si>
    <t>4,64</t>
  </si>
  <si>
    <t>5,16</t>
  </si>
  <si>
    <t>Dzurek Gyula</t>
  </si>
  <si>
    <t>4,28</t>
  </si>
  <si>
    <t>Hunyadi Levente</t>
  </si>
  <si>
    <t>-</t>
  </si>
  <si>
    <t>Csumpilla Bence</t>
  </si>
  <si>
    <t>4,76</t>
  </si>
  <si>
    <t>4,66</t>
  </si>
  <si>
    <t>Fehér Máté</t>
  </si>
  <si>
    <t>4,65</t>
  </si>
  <si>
    <t>4,61</t>
  </si>
  <si>
    <t>Szatmári Bence</t>
  </si>
  <si>
    <t>4,42</t>
  </si>
  <si>
    <t>4,55</t>
  </si>
  <si>
    <t>Orosháza, Székács József Evangélikus Ó., ÁI. és Gimn.</t>
  </si>
  <si>
    <t>Fucskó Dániel</t>
  </si>
  <si>
    <t>4,68</t>
  </si>
  <si>
    <t>Kunos Dominik</t>
  </si>
  <si>
    <t>Szemenyei Zoltán</t>
  </si>
  <si>
    <t>4,17</t>
  </si>
  <si>
    <t>Losonczi Noel</t>
  </si>
  <si>
    <t>5,51</t>
  </si>
  <si>
    <t>5,60</t>
  </si>
  <si>
    <t>Földesi Róbert</t>
  </si>
  <si>
    <t>Laluska Barnabás</t>
  </si>
  <si>
    <t>4,12</t>
  </si>
  <si>
    <t>4,06</t>
  </si>
  <si>
    <t>Török Botond</t>
  </si>
  <si>
    <t>3,50</t>
  </si>
  <si>
    <t>Balogh Ábel</t>
  </si>
  <si>
    <t>4,46</t>
  </si>
  <si>
    <t>4,62</t>
  </si>
  <si>
    <t>Súlylökés (6 kg) fiú - V-VI. kcs.</t>
  </si>
  <si>
    <t>Békés, Gál Ferenc Egyetem Tech., SZKI, Gimn. és Koll.</t>
  </si>
  <si>
    <t>Deák Lóránt</t>
  </si>
  <si>
    <t>11,39</t>
  </si>
  <si>
    <t>11,40</t>
  </si>
  <si>
    <t>12,20</t>
  </si>
  <si>
    <t>Wágner Balázs</t>
  </si>
  <si>
    <t>9,91</t>
  </si>
  <si>
    <t>9,49</t>
  </si>
  <si>
    <t>9,11</t>
  </si>
  <si>
    <t>Telegdi Bence</t>
  </si>
  <si>
    <t>11,42</t>
  </si>
  <si>
    <t>10,75</t>
  </si>
  <si>
    <t>10,23</t>
  </si>
  <si>
    <t>Wágner Ádám</t>
  </si>
  <si>
    <t>13,60</t>
  </si>
  <si>
    <t>14,00</t>
  </si>
  <si>
    <t>15,10</t>
  </si>
  <si>
    <t>Rácz András</t>
  </si>
  <si>
    <t>Csikós László Imre</t>
  </si>
  <si>
    <t>8,24</t>
  </si>
  <si>
    <t>8,43</t>
  </si>
  <si>
    <t>Mester Lóránd</t>
  </si>
  <si>
    <t>8,31</t>
  </si>
  <si>
    <t>8,58</t>
  </si>
  <si>
    <t>9,06</t>
  </si>
  <si>
    <t>Oláh Dénes</t>
  </si>
  <si>
    <t>10,33</t>
  </si>
  <si>
    <t>Pojendán Áron</t>
  </si>
  <si>
    <t>9,57</t>
  </si>
  <si>
    <t>9,66</t>
  </si>
  <si>
    <t>9,34</t>
  </si>
  <si>
    <t>Szénási Vendel</t>
  </si>
  <si>
    <t>8,15</t>
  </si>
  <si>
    <t>9,46</t>
  </si>
  <si>
    <t>9,00</t>
  </si>
  <si>
    <t>Szél Zoltán</t>
  </si>
  <si>
    <t>8,63</t>
  </si>
  <si>
    <t>10,06</t>
  </si>
  <si>
    <t>10,16</t>
  </si>
  <si>
    <t>Demján Gergő</t>
  </si>
  <si>
    <t>9,20</t>
  </si>
  <si>
    <t>9,53</t>
  </si>
  <si>
    <t>8,44</t>
  </si>
  <si>
    <t>Balikó Balázs</t>
  </si>
  <si>
    <t>9,41</t>
  </si>
  <si>
    <t>Szász Péter</t>
  </si>
  <si>
    <t>7,12</t>
  </si>
  <si>
    <t>7,82</t>
  </si>
  <si>
    <t>7,86</t>
  </si>
  <si>
    <t>Tóth Áron</t>
  </si>
  <si>
    <t>9,03</t>
  </si>
  <si>
    <t>8,53</t>
  </si>
  <si>
    <t>Bíró Márton</t>
  </si>
  <si>
    <t>9,50</t>
  </si>
  <si>
    <t>9,15</t>
  </si>
  <si>
    <t>Brandt Máté</t>
  </si>
  <si>
    <t>9,83</t>
  </si>
  <si>
    <t>9,85</t>
  </si>
  <si>
    <t>9,77</t>
  </si>
  <si>
    <t>Tóth Tamás</t>
  </si>
  <si>
    <t>7,87</t>
  </si>
  <si>
    <t>7,60</t>
  </si>
  <si>
    <t>7,47</t>
  </si>
  <si>
    <t>7,79</t>
  </si>
  <si>
    <t>7,81</t>
  </si>
  <si>
    <t>Bozó Bence</t>
  </si>
  <si>
    <t>9,52</t>
  </si>
  <si>
    <t>8,54</t>
  </si>
  <si>
    <t>9,29</t>
  </si>
  <si>
    <t>Bajkán Milos</t>
  </si>
  <si>
    <t>8,61</t>
  </si>
  <si>
    <t>8,30</t>
  </si>
  <si>
    <t>Boldizsár Krisztián</t>
  </si>
  <si>
    <t>8,77</t>
  </si>
  <si>
    <t>9,40</t>
  </si>
  <si>
    <t>Csesznok Dominik</t>
  </si>
  <si>
    <t>8,14</t>
  </si>
  <si>
    <t>8,37</t>
  </si>
  <si>
    <t>Keresztes Kornél</t>
  </si>
  <si>
    <t>8,08</t>
  </si>
  <si>
    <t>7,78</t>
  </si>
  <si>
    <t>Rácz Ábel</t>
  </si>
  <si>
    <t>9,22</t>
  </si>
  <si>
    <t>9,17</t>
  </si>
  <si>
    <t>Gyula, NICOLAE BĂLCESCU ROMÁN Gimn., ÁI. ÉS Koll.</t>
  </si>
  <si>
    <t>Jevuczó Péter</t>
  </si>
  <si>
    <t>8,23</t>
  </si>
  <si>
    <t>7,55</t>
  </si>
  <si>
    <t>8,41</t>
  </si>
  <si>
    <t>Lunka Máté Attila</t>
  </si>
  <si>
    <t>8,92</t>
  </si>
  <si>
    <t>8,95</t>
  </si>
  <si>
    <t>Stepan Alexandru Petru</t>
  </si>
  <si>
    <t>7,48</t>
  </si>
  <si>
    <t>8,79</t>
  </si>
  <si>
    <t>Szücs Joel</t>
  </si>
  <si>
    <t>9,25</t>
  </si>
  <si>
    <t>9,08</t>
  </si>
  <si>
    <t>Baktai Ferencné</t>
  </si>
  <si>
    <t>Erdei Dávid</t>
  </si>
  <si>
    <t>7,44</t>
  </si>
  <si>
    <t>7,36</t>
  </si>
  <si>
    <t>7,19</t>
  </si>
  <si>
    <t>Hegedűs Márton</t>
  </si>
  <si>
    <t>8,83</t>
  </si>
  <si>
    <t>8,73</t>
  </si>
  <si>
    <t>Spielberger Martin</t>
  </si>
  <si>
    <t>8,74</t>
  </si>
  <si>
    <t>9,04</t>
  </si>
  <si>
    <t>Csongrádi Imre</t>
  </si>
  <si>
    <t>8,55</t>
  </si>
  <si>
    <t>Békéscsaba, Békéscsabai SZC Kemény Gábor Tech. Székhely</t>
  </si>
  <si>
    <t>Sóki Csanád</t>
  </si>
  <si>
    <t>9,44</t>
  </si>
  <si>
    <t>9,10</t>
  </si>
  <si>
    <t>Tóth Attila</t>
  </si>
  <si>
    <t>7,72</t>
  </si>
  <si>
    <t>6,85</t>
  </si>
  <si>
    <t>Vincze Levente</t>
  </si>
  <si>
    <t>8,97</t>
  </si>
  <si>
    <t>Varga Lajos</t>
  </si>
  <si>
    <t>6,53</t>
  </si>
  <si>
    <t>6,57</t>
  </si>
  <si>
    <t>7,16</t>
  </si>
  <si>
    <t>Brlázs-Iványi Beáta</t>
  </si>
  <si>
    <t>Diszkoszvetés (1,75 kg) fiú - V-VI. kcs.</t>
  </si>
  <si>
    <t>38,38</t>
  </si>
  <si>
    <t>x</t>
  </si>
  <si>
    <t>31,29</t>
  </si>
  <si>
    <t>28,24</t>
  </si>
  <si>
    <t>47,56</t>
  </si>
  <si>
    <t>20,00</t>
  </si>
  <si>
    <t>34,18</t>
  </si>
  <si>
    <t>29,23</t>
  </si>
  <si>
    <t>Gila Gábor</t>
  </si>
  <si>
    <t>20,34</t>
  </si>
  <si>
    <t>Békéscsaba, Békéscsabai SZC Trefort Ágoston Tech., SZKI és Koll. "A"</t>
  </si>
  <si>
    <t>28,98</t>
  </si>
  <si>
    <t>26,25</t>
  </si>
  <si>
    <t>23,70</t>
  </si>
  <si>
    <t>Szekeres Levente</t>
  </si>
  <si>
    <t>20,48</t>
  </si>
  <si>
    <t>Békéscsaba, Békéscsabai SZC Trefort Ágoston Tech., SZKI és Koll. "B"</t>
  </si>
  <si>
    <t>Andrási Ármin</t>
  </si>
  <si>
    <t>19,72</t>
  </si>
  <si>
    <t>Balla Kristóf</t>
  </si>
  <si>
    <t>22,17</t>
  </si>
  <si>
    <t>Kovalovszki András</t>
  </si>
  <si>
    <t>13,59</t>
  </si>
  <si>
    <t>Dér Bence</t>
  </si>
  <si>
    <t>23,05</t>
  </si>
  <si>
    <t>Gerelyhajítás (800 g) fiú - V-VI. kcs.</t>
  </si>
  <si>
    <t>36,67</t>
  </si>
  <si>
    <t>31,39</t>
  </si>
  <si>
    <t>Házi Richárd</t>
  </si>
  <si>
    <t>42,43</t>
  </si>
  <si>
    <t>Vörös Barnabás</t>
  </si>
  <si>
    <t>38,96</t>
  </si>
  <si>
    <t>Békéscsaba, Békéscsabai SZC Nemes Tihamér Tech. és Koll.</t>
  </si>
  <si>
    <t>Albert Ádám</t>
  </si>
  <si>
    <t>30,69</t>
  </si>
  <si>
    <t>24,12</t>
  </si>
  <si>
    <t>Czinkóczki Dániel</t>
  </si>
  <si>
    <t>35,87</t>
  </si>
  <si>
    <t>Fabulya Attila</t>
  </si>
  <si>
    <t>36,17</t>
  </si>
  <si>
    <t>Szatmári Levente</t>
  </si>
  <si>
    <t>34,37</t>
  </si>
  <si>
    <t>36,91</t>
  </si>
  <si>
    <t>31,22</t>
  </si>
  <si>
    <t>29,18</t>
  </si>
  <si>
    <t>Lalusk Barnabás</t>
  </si>
  <si>
    <t>25,10</t>
  </si>
  <si>
    <t>Szabó Ádám</t>
  </si>
  <si>
    <t>24,07</t>
  </si>
  <si>
    <t>34,09</t>
  </si>
  <si>
    <t>30,31</t>
  </si>
  <si>
    <t>Gila Gábor József</t>
  </si>
  <si>
    <t>21,76</t>
  </si>
  <si>
    <t>Túróczy Hunor</t>
  </si>
  <si>
    <t>25,72</t>
  </si>
  <si>
    <t>Gyula, Göndöcs Benedek Katolikus Tech., SZKI és Koll.</t>
  </si>
  <si>
    <t>Horváth László</t>
  </si>
  <si>
    <t>32,20</t>
  </si>
  <si>
    <t>Lakatos Áron</t>
  </si>
  <si>
    <t>21,84</t>
  </si>
  <si>
    <t>Pauló Patrik</t>
  </si>
  <si>
    <t>23,33</t>
  </si>
  <si>
    <t>Pikó Raul</t>
  </si>
  <si>
    <t>27,94</t>
  </si>
  <si>
    <t>Antal Zsolt</t>
  </si>
  <si>
    <t>4x1500 m fiú váltó - V-VI kcs.</t>
  </si>
  <si>
    <t>Szév</t>
  </si>
  <si>
    <t>Eredmény</t>
  </si>
  <si>
    <t xml:space="preserve">Gyula, Gyulai Erkel Ferenc Gimn. és Koll.					</t>
  </si>
  <si>
    <t>20:11,1</t>
  </si>
  <si>
    <t>Simon Attila</t>
  </si>
  <si>
    <t>Nacsa Domán</t>
  </si>
  <si>
    <t>Antal Máté</t>
  </si>
  <si>
    <t>Testnevelő: Czoldánné Domokos Györgyi</t>
  </si>
  <si>
    <t>20:33,5</t>
  </si>
  <si>
    <t>Vámos István</t>
  </si>
  <si>
    <t>Sztricska Tamás</t>
  </si>
  <si>
    <t>Szász Máté</t>
  </si>
  <si>
    <t>Sáfián Benedek</t>
  </si>
  <si>
    <t>Testnevelő: Timár Tamás</t>
  </si>
  <si>
    <t>21:08,5</t>
  </si>
  <si>
    <t>Szabó Csongor</t>
  </si>
  <si>
    <t>Pardi Patrik</t>
  </si>
  <si>
    <t>Mihály Máté</t>
  </si>
  <si>
    <t>Testnevelő: Puczkó Annamária</t>
  </si>
  <si>
    <t>21:10,2</t>
  </si>
  <si>
    <t>Péter László</t>
  </si>
  <si>
    <t>Szeblák Vilmos</t>
  </si>
  <si>
    <t>Dudaszeg Levente</t>
  </si>
  <si>
    <t>Mázor Milán</t>
  </si>
  <si>
    <t>Testnevelő: Pap Csaba</t>
  </si>
  <si>
    <t>21:11,1</t>
  </si>
  <si>
    <t>Boros Richárd Benjamin</t>
  </si>
  <si>
    <t>Hermány Roland</t>
  </si>
  <si>
    <t>Kiss Alpár</t>
  </si>
  <si>
    <t>Pohner Bertalan</t>
  </si>
  <si>
    <t>Testnevelő: Antal Zsolt</t>
  </si>
  <si>
    <t>21:49,4</t>
  </si>
  <si>
    <t>Lipták Roland</t>
  </si>
  <si>
    <t>Nagy Zoltán</t>
  </si>
  <si>
    <t>Furák Szabolcs</t>
  </si>
  <si>
    <t>Miklovicz Áron</t>
  </si>
  <si>
    <t>Testnevelő: Bagi Árpád, Kurucsó Péter</t>
  </si>
  <si>
    <t>Svédváltó fiú váltó - V-VI kcs.</t>
  </si>
  <si>
    <t>Békéscsaba, Békéscsabai SZC Széchenyi István Két Tanítási Nyelvű Közgazdasági Tech. és Koll.</t>
  </si>
  <si>
    <t>2:11,4</t>
  </si>
  <si>
    <t>Kovács Zoltán</t>
  </si>
  <si>
    <t>Kuffer László</t>
  </si>
  <si>
    <t>Litauszki Zsombor</t>
  </si>
  <si>
    <t>Szűcs Albert</t>
  </si>
  <si>
    <t>Testnevelő: Gerendeli Gábor</t>
  </si>
  <si>
    <t>Békéscsaba, Békéscsabai Andrássy Gyula Gimn. és Koll. "B"</t>
  </si>
  <si>
    <t>2:11,6</t>
  </si>
  <si>
    <t>Kovács Áron</t>
  </si>
  <si>
    <t>Viczián Balázs</t>
  </si>
  <si>
    <t>Göblyös Sándor</t>
  </si>
  <si>
    <t>Békéscsaba, Békéscsabai SZC Zwack József Tech. és SZKI "A"</t>
  </si>
  <si>
    <t>2:12,7</t>
  </si>
  <si>
    <t>Paulik Áron</t>
  </si>
  <si>
    <t>Molnár Márkó Gábor</t>
  </si>
  <si>
    <t>Kurai Levente</t>
  </si>
  <si>
    <t>Lázár Álmos</t>
  </si>
  <si>
    <t>Testnevelő: Szabóné Csendes Ildikó</t>
  </si>
  <si>
    <t>2:13,3</t>
  </si>
  <si>
    <t>Testnevelő: Osgyán Bence</t>
  </si>
  <si>
    <t>Orosháza, Orosházi Táncsics Mihály Gimn. és Koll.  "A"</t>
  </si>
  <si>
    <t>2:14,0</t>
  </si>
  <si>
    <t>Nagy Bence</t>
  </si>
  <si>
    <t>Nagy Zsolt</t>
  </si>
  <si>
    <t>Testnevelő: Marosvölgyiné Rideg Ágnes</t>
  </si>
  <si>
    <t>2:14,6</t>
  </si>
  <si>
    <t>Zsilinszki Bálint</t>
  </si>
  <si>
    <t>2:15,7</t>
  </si>
  <si>
    <t>Gerebenics Róbert Barna</t>
  </si>
  <si>
    <t xml:space="preserve">Békéscsaba, Békéscsabai Andrássy Gyula Gimn. és Koll. "A"			</t>
  </si>
  <si>
    <t>2:20,8</t>
  </si>
  <si>
    <t>Ollári Milán</t>
  </si>
  <si>
    <t>Békéscsaba, Békéscsabai SZC Szent-Györgyi Albert Tech. és Koll.</t>
  </si>
  <si>
    <t>2:23,4</t>
  </si>
  <si>
    <t>Nagy Attila Zsombor</t>
  </si>
  <si>
    <t>Kutasi Márkó</t>
  </si>
  <si>
    <t>Csapó Dániel Olivér</t>
  </si>
  <si>
    <t>Sólyom Máté</t>
  </si>
  <si>
    <t>Testnevelő: Szigetiné Hrabovszki Éva</t>
  </si>
  <si>
    <t xml:space="preserve">Orosháza, Orosházi Táncsics Mihály Gimn. és Koll. "C"           </t>
  </si>
  <si>
    <t>2:24,2</t>
  </si>
  <si>
    <t xml:space="preserve">Békéscsaba, Békéscsabai SZC Trefort Ágoston Tech., SZKI és Koll.			</t>
  </si>
  <si>
    <t>2:26,3</t>
  </si>
  <si>
    <t>Dávid Csaba</t>
  </si>
  <si>
    <t>Horváth Csaba</t>
  </si>
  <si>
    <t>Papp Zoltán</t>
  </si>
  <si>
    <t xml:space="preserve">Gyula, Göndöcs Benedek Katolikus Tech., SZKI és Koll.			</t>
  </si>
  <si>
    <t>2:28,9</t>
  </si>
  <si>
    <t>Kővágó Stefán</t>
  </si>
  <si>
    <t>Lebegyev Artúr</t>
  </si>
  <si>
    <t>Szűcs Attila</t>
  </si>
  <si>
    <t xml:space="preserve">Békéscsaba, Békéscsabai SZC Zwack József Tech. és SZKI "B"			</t>
  </si>
  <si>
    <t>2:17,7</t>
  </si>
  <si>
    <t>Benyovszki Ádám</t>
  </si>
  <si>
    <t>Tompa Bence</t>
  </si>
  <si>
    <t>Kolarovszki Milán</t>
  </si>
  <si>
    <t>Purecse Zsombor</t>
  </si>
  <si>
    <t xml:space="preserve">Békéscsaba, Békéscsabai SZC Zwack József Tech. és SZKI "C"                        </t>
  </si>
  <si>
    <t>2:18,3</t>
  </si>
  <si>
    <t>Fodré Dávid</t>
  </si>
  <si>
    <t>Oláh Martin</t>
  </si>
  <si>
    <t>Kolarovszki Martin</t>
  </si>
  <si>
    <t>Lyachó Bence</t>
  </si>
  <si>
    <t xml:space="preserve">Orosháza, Orosházi Táncsics Mihály Gimn. és Koll. "B"           </t>
  </si>
  <si>
    <t>2:16,3</t>
  </si>
  <si>
    <t>Rácz Balázs</t>
  </si>
  <si>
    <t>Magasugrás lány - V-VI. kcs.</t>
  </si>
  <si>
    <t>Eredm.</t>
  </si>
  <si>
    <t>Nagy Melinda</t>
  </si>
  <si>
    <t>Nagy Nerina</t>
  </si>
  <si>
    <t>Égi Janka</t>
  </si>
  <si>
    <t>Valler Barbara</t>
  </si>
  <si>
    <t>Hursán Réka</t>
  </si>
  <si>
    <t>Hrabovszki Gábor</t>
  </si>
  <si>
    <t>Árpási Krisztabella</t>
  </si>
  <si>
    <t>Stefanovits Hanna</t>
  </si>
  <si>
    <t>Havas Katalin</t>
  </si>
  <si>
    <t>Kallós Ágnes</t>
  </si>
  <si>
    <t>Tóth Zóra</t>
  </si>
  <si>
    <t>Távolugrás lány - V-VI. kcs.</t>
  </si>
  <si>
    <t xml:space="preserve">Békéscsaba, Békéscsabai SZC Széchenyi István Két Tanítási Nyelvű Közgazdasági Tech. és Koll.			</t>
  </si>
  <si>
    <t>Czigléczki Lilien</t>
  </si>
  <si>
    <t>3,89</t>
  </si>
  <si>
    <t>Lázár Kamilla</t>
  </si>
  <si>
    <t>4,30</t>
  </si>
  <si>
    <t>Madari Viktória</t>
  </si>
  <si>
    <t>3,96</t>
  </si>
  <si>
    <t>4,07</t>
  </si>
  <si>
    <t>4,54</t>
  </si>
  <si>
    <t>Szabó Lívia</t>
  </si>
  <si>
    <t>Zsittnyán Laura</t>
  </si>
  <si>
    <t>4,94</t>
  </si>
  <si>
    <t>Gerendeli Gábor</t>
  </si>
  <si>
    <t xml:space="preserve">Békéscsaba, Békéscsabai Andrássy Gyula Gimn. és Koll.		</t>
  </si>
  <si>
    <t>Hrabovszki Anita</t>
  </si>
  <si>
    <t>3,87</t>
  </si>
  <si>
    <t>3,81</t>
  </si>
  <si>
    <t>4,10</t>
  </si>
  <si>
    <t>Rakonczás Regina</t>
  </si>
  <si>
    <t>4,23</t>
  </si>
  <si>
    <t>4,13</t>
  </si>
  <si>
    <t>Takács Dóra</t>
  </si>
  <si>
    <t>4,52</t>
  </si>
  <si>
    <t>4,50</t>
  </si>
  <si>
    <t>4,04</t>
  </si>
  <si>
    <t>Szűcs Nóra</t>
  </si>
  <si>
    <t xml:space="preserve">Orosháza, Orosházi Táncsics Mihály Gimn. és Koll. 			</t>
  </si>
  <si>
    <t>Duray Bori</t>
  </si>
  <si>
    <t>3,99</t>
  </si>
  <si>
    <t>Kásás Bianka</t>
  </si>
  <si>
    <t>3,53</t>
  </si>
  <si>
    <t>3,57</t>
  </si>
  <si>
    <t>Tóth Réka</t>
  </si>
  <si>
    <t>Leczkési Molli</t>
  </si>
  <si>
    <t>4,18</t>
  </si>
  <si>
    <t>4,53</t>
  </si>
  <si>
    <t>4,41</t>
  </si>
  <si>
    <t>Patyi Anna</t>
  </si>
  <si>
    <t>4,37</t>
  </si>
  <si>
    <t>4,59</t>
  </si>
  <si>
    <t xml:space="preserve">Gyula, Gyulai Erkel Ferenc Gimn. és Koll.			</t>
  </si>
  <si>
    <t>3,91</t>
  </si>
  <si>
    <t>4,27</t>
  </si>
  <si>
    <t>3,76</t>
  </si>
  <si>
    <t>Müller Szabina</t>
  </si>
  <si>
    <t>3,90</t>
  </si>
  <si>
    <t>4,05</t>
  </si>
  <si>
    <t>Győri Jázmin</t>
  </si>
  <si>
    <t>3,69</t>
  </si>
  <si>
    <t xml:space="preserve">Orosháza, Székács József Evangélikus Ó., ÁI. és Gimn.					</t>
  </si>
  <si>
    <t>Lengyel Dominika</t>
  </si>
  <si>
    <t>Prohászka Nóra</t>
  </si>
  <si>
    <t>3,64</t>
  </si>
  <si>
    <t>Vajda Bodza</t>
  </si>
  <si>
    <t>Móricz Nikolett Kata</t>
  </si>
  <si>
    <t xml:space="preserve">Gyula, Gyulai Római Kat. Gimn., ÁI., Ó. és Koll.                        </t>
  </si>
  <si>
    <t>Ivanics Emma</t>
  </si>
  <si>
    <t>3,27</t>
  </si>
  <si>
    <t>3,44</t>
  </si>
  <si>
    <t>3,56</t>
  </si>
  <si>
    <t>Kerék Anna</t>
  </si>
  <si>
    <t>3,66</t>
  </si>
  <si>
    <t>Dohor Fanni</t>
  </si>
  <si>
    <t>3,06</t>
  </si>
  <si>
    <t>3,08</t>
  </si>
  <si>
    <t>3,05</t>
  </si>
  <si>
    <t>Csibi Hanga</t>
  </si>
  <si>
    <t>2,80</t>
  </si>
  <si>
    <t>2,83</t>
  </si>
  <si>
    <t>Szabó Janka</t>
  </si>
  <si>
    <t>3,61</t>
  </si>
  <si>
    <t>3,59</t>
  </si>
  <si>
    <t>Súlylökés (4 kg) lány - V-VI. kcs.</t>
  </si>
  <si>
    <t xml:space="preserve">Orosháza, Orosházi Táncsics Mihály Gimn. és Koll. </t>
  </si>
  <si>
    <t>Csernyeczki Laura</t>
  </si>
  <si>
    <t>8,99</t>
  </si>
  <si>
    <t>9,79</t>
  </si>
  <si>
    <t>Kecskeméti Dorka</t>
  </si>
  <si>
    <t>7,89</t>
  </si>
  <si>
    <t>7,52</t>
  </si>
  <si>
    <t>7,62</t>
  </si>
  <si>
    <t>9,90</t>
  </si>
  <si>
    <t>Vannai Lívia</t>
  </si>
  <si>
    <t>7,15</t>
  </si>
  <si>
    <t>8,39</t>
  </si>
  <si>
    <t>7,28</t>
  </si>
  <si>
    <t>Patyiné Bogdánffy Ágnes, Marosvölgyiné Rideg Ágnes</t>
  </si>
  <si>
    <t xml:space="preserve">Gyula, Gyulai Erkel Ferenc Gimn. és Koll.                        </t>
  </si>
  <si>
    <t>Hermann Petra</t>
  </si>
  <si>
    <t>8,27</t>
  </si>
  <si>
    <t>7,74</t>
  </si>
  <si>
    <t>Budai Réka</t>
  </si>
  <si>
    <t>7,14</t>
  </si>
  <si>
    <t>6,70</t>
  </si>
  <si>
    <t>7,57</t>
  </si>
  <si>
    <t>Sebestyén Mira</t>
  </si>
  <si>
    <t>6,31</t>
  </si>
  <si>
    <t>6,46</t>
  </si>
  <si>
    <t>6,90</t>
  </si>
  <si>
    <t>Nagy Kamilla</t>
  </si>
  <si>
    <t>6,69</t>
  </si>
  <si>
    <t>6,65</t>
  </si>
  <si>
    <t>6,87</t>
  </si>
  <si>
    <t>6,55</t>
  </si>
  <si>
    <t>7,32</t>
  </si>
  <si>
    <t>Dzurek Vivien</t>
  </si>
  <si>
    <t>5,33</t>
  </si>
  <si>
    <t>4,84</t>
  </si>
  <si>
    <t>5,00</t>
  </si>
  <si>
    <t>Kis Jázmin</t>
  </si>
  <si>
    <t>6,66</t>
  </si>
  <si>
    <t>7,46</t>
  </si>
  <si>
    <t>6,93</t>
  </si>
  <si>
    <t>6,39</t>
  </si>
  <si>
    <t>6,50</t>
  </si>
  <si>
    <t>6,62</t>
  </si>
  <si>
    <t>Tadanaj Gréta</t>
  </si>
  <si>
    <t>8,47</t>
  </si>
  <si>
    <t>8,94</t>
  </si>
  <si>
    <t>8,42</t>
  </si>
  <si>
    <t>Kántor Lujza</t>
  </si>
  <si>
    <t>5,68</t>
  </si>
  <si>
    <t>5,47</t>
  </si>
  <si>
    <t>Komlósi Sára</t>
  </si>
  <si>
    <t>5,98</t>
  </si>
  <si>
    <t>Pop Nadia</t>
  </si>
  <si>
    <t>8,04</t>
  </si>
  <si>
    <t>7,90</t>
  </si>
  <si>
    <t>Pópity Luca</t>
  </si>
  <si>
    <t>7,65</t>
  </si>
  <si>
    <t>7,50</t>
  </si>
  <si>
    <t>7,69</t>
  </si>
  <si>
    <t>Priskin Luca</t>
  </si>
  <si>
    <t>7,11</t>
  </si>
  <si>
    <t>6,86</t>
  </si>
  <si>
    <t>6,16</t>
  </si>
  <si>
    <t>6,37</t>
  </si>
  <si>
    <t>5,42</t>
  </si>
  <si>
    <t>Tulkán Tekla</t>
  </si>
  <si>
    <t>Samu Lili</t>
  </si>
  <si>
    <t>6,10</t>
  </si>
  <si>
    <t>6,45</t>
  </si>
  <si>
    <t>6,77</t>
  </si>
  <si>
    <t>Ollári Anna</t>
  </si>
  <si>
    <t>7,39</t>
  </si>
  <si>
    <t>7,03</t>
  </si>
  <si>
    <t xml:space="preserve">Gyula, Gyulai Római Kat. Gimn., ÁI., Ó. és Koll.        </t>
  </si>
  <si>
    <t>Kukla Nóra</t>
  </si>
  <si>
    <t>6,91</t>
  </si>
  <si>
    <t>7,33</t>
  </si>
  <si>
    <t>Szabó Fanni</t>
  </si>
  <si>
    <t>5,20</t>
  </si>
  <si>
    <t>5,35</t>
  </si>
  <si>
    <t>5,99</t>
  </si>
  <si>
    <t>Kovács Viktória</t>
  </si>
  <si>
    <t>6,75</t>
  </si>
  <si>
    <t>7,07</t>
  </si>
  <si>
    <t>Hrabovszki Szilvia</t>
  </si>
  <si>
    <t>5,53</t>
  </si>
  <si>
    <t>6,02</t>
  </si>
  <si>
    <t>Czirók Gréta</t>
  </si>
  <si>
    <t>5,94</t>
  </si>
  <si>
    <t>6,98</t>
  </si>
  <si>
    <t>6,58</t>
  </si>
  <si>
    <t xml:space="preserve">Békéscsaba, Békéscsabai Belvárosi ÁI. és Gimn.			</t>
  </si>
  <si>
    <t>Poltz Melina</t>
  </si>
  <si>
    <t>6,35</t>
  </si>
  <si>
    <t>Pelyhe Anna</t>
  </si>
  <si>
    <t>6,94</t>
  </si>
  <si>
    <t>Juhász Dóra</t>
  </si>
  <si>
    <t>5,90</t>
  </si>
  <si>
    <t>5,81</t>
  </si>
  <si>
    <t>5,71</t>
  </si>
  <si>
    <t>Kiss Panna</t>
  </si>
  <si>
    <t>5,39</t>
  </si>
  <si>
    <t>Susánszky Zóra</t>
  </si>
  <si>
    <t>5,11</t>
  </si>
  <si>
    <t>5,26</t>
  </si>
  <si>
    <t>Diszkoszvetés (1 kg) lány - V-VI. kcs.</t>
  </si>
  <si>
    <t>Békéscsaba, Békéscsabai Andrássy Gyula Gimn. és Koll. "A"</t>
  </si>
  <si>
    <t>20,47</t>
  </si>
  <si>
    <t>18,29</t>
  </si>
  <si>
    <t>Simon Emma</t>
  </si>
  <si>
    <t>19,61</t>
  </si>
  <si>
    <t>Asztalos Alexandra</t>
  </si>
  <si>
    <t>Szabó Ajnácska</t>
  </si>
  <si>
    <t>19,27</t>
  </si>
  <si>
    <t>16,75</t>
  </si>
  <si>
    <t>16,00</t>
  </si>
  <si>
    <t>15,05</t>
  </si>
  <si>
    <t>18,04</t>
  </si>
  <si>
    <t>26,91</t>
  </si>
  <si>
    <t xml:space="preserve">Békéscsaba, Békéscsabai Andrássy Gyula Gimn. és Koll. "B"					</t>
  </si>
  <si>
    <t>Bódi Mira</t>
  </si>
  <si>
    <t>19,75</t>
  </si>
  <si>
    <t>Zsurzsucz réka</t>
  </si>
  <si>
    <t>19,00</t>
  </si>
  <si>
    <t>Fül9öp Emma</t>
  </si>
  <si>
    <t>18,54</t>
  </si>
  <si>
    <t>17,67</t>
  </si>
  <si>
    <t>Kovács Hédi</t>
  </si>
  <si>
    <t>16,07</t>
  </si>
  <si>
    <t>20,30</t>
  </si>
  <si>
    <t>18,52</t>
  </si>
  <si>
    <t>16,04</t>
  </si>
  <si>
    <t>Gerelyhajítás lány - V-VI. kcs.</t>
  </si>
  <si>
    <t>25,33</t>
  </si>
  <si>
    <t>19,42</t>
  </si>
  <si>
    <t>20,45</t>
  </si>
  <si>
    <t xml:space="preserve">Szarvas Bodza </t>
  </si>
  <si>
    <t>16,01</t>
  </si>
  <si>
    <t>Ardai Virág</t>
  </si>
  <si>
    <t>24,37</t>
  </si>
  <si>
    <t>Ale Dóra</t>
  </si>
  <si>
    <t>23,65</t>
  </si>
  <si>
    <t>Sajben Mercédesz</t>
  </si>
  <si>
    <t>18,84</t>
  </si>
  <si>
    <t>Vöneki Laura Lilla</t>
  </si>
  <si>
    <t>23,23</t>
  </si>
  <si>
    <t>Szabó Anasztázia</t>
  </si>
  <si>
    <t>17,78</t>
  </si>
  <si>
    <t>Fazekas-Bíró kata</t>
  </si>
  <si>
    <t>14,51</t>
  </si>
  <si>
    <t>Kerekes Nóra</t>
  </si>
  <si>
    <t>17,96</t>
  </si>
  <si>
    <t>Kiss Barbara Andrea</t>
  </si>
  <si>
    <t>17,07</t>
  </si>
  <si>
    <t>Soós Beatrix</t>
  </si>
  <si>
    <t>18,88</t>
  </si>
  <si>
    <t>Székely Dorina</t>
  </si>
  <si>
    <t>13,83</t>
  </si>
  <si>
    <t>4x800 m leány váltó - V-VI kcs.</t>
  </si>
  <si>
    <t>10:23,6</t>
  </si>
  <si>
    <t>Sztraczinszki Lili</t>
  </si>
  <si>
    <t>Csótó Kincső Réka</t>
  </si>
  <si>
    <t>Mézes Virág Emese</t>
  </si>
  <si>
    <t>Testnevelő: Hrabovszki Gábor</t>
  </si>
  <si>
    <t>11:39,9</t>
  </si>
  <si>
    <t>Pepó Lili</t>
  </si>
  <si>
    <t>Túróczy Patrícia</t>
  </si>
  <si>
    <t>Sánta Sára</t>
  </si>
  <si>
    <t>Nagy-Benedek Izabell</t>
  </si>
  <si>
    <t xml:space="preserve">Gyula, Gyulai Római Kat. Gimn., ÁI., Ó. és Koll.  </t>
  </si>
  <si>
    <t>12:56,2</t>
  </si>
  <si>
    <t>Hegedűs Réka</t>
  </si>
  <si>
    <t>Aradszki Anna</t>
  </si>
  <si>
    <t>Boda Lilla</t>
  </si>
  <si>
    <t>13:16,4</t>
  </si>
  <si>
    <t>Botyánszki Vivien</t>
  </si>
  <si>
    <t>Kintner Imola</t>
  </si>
  <si>
    <t>Balogh Ramóna</t>
  </si>
  <si>
    <t>Duna Nikoletta</t>
  </si>
  <si>
    <t>Márton Noémi Laura</t>
  </si>
  <si>
    <t>Pál Vanessza Rebeka</t>
  </si>
  <si>
    <t>Sarkadi Dóra</t>
  </si>
  <si>
    <t>Sproch Kinga</t>
  </si>
  <si>
    <t>Svédváltó leány váltó - V-VI kcs.</t>
  </si>
  <si>
    <t>2:23,8</t>
  </si>
  <si>
    <t>Békéscsaba, Szeberényi Gusztáv Adolf Evangélikus Gimn., Tech., SzakGimn., ÁI., Ó., AMI. és Koll.</t>
  </si>
  <si>
    <t>2:38,2</t>
  </si>
  <si>
    <t>Szekerczés Bianka</t>
  </si>
  <si>
    <t>Ulrich Noémi</t>
  </si>
  <si>
    <t>Zétényi Szonja</t>
  </si>
  <si>
    <t>Alföldi Sára Kata</t>
  </si>
  <si>
    <t>Testnevelő: Nagy Lídia</t>
  </si>
  <si>
    <t>2:46,9</t>
  </si>
  <si>
    <t>Dán Linda</t>
  </si>
  <si>
    <t>Lipcsei Flóra</t>
  </si>
  <si>
    <t>Botyánszki Violetta</t>
  </si>
  <si>
    <t>Szabó Bíborka</t>
  </si>
  <si>
    <t>2:49,8</t>
  </si>
  <si>
    <t>Lupsa Bianka</t>
  </si>
  <si>
    <t>Grosa Abigél</t>
  </si>
  <si>
    <t>2:51,7</t>
  </si>
  <si>
    <t>Békéscsaba, Békéscsabai SZC Zwack József Tech. és SZKI</t>
  </si>
  <si>
    <t>2:55,8</t>
  </si>
  <si>
    <t>Tóth Anna</t>
  </si>
  <si>
    <t>Buzgán Enikő</t>
  </si>
  <si>
    <t>Frank Vivien</t>
  </si>
  <si>
    <t>Vass Szintia</t>
  </si>
  <si>
    <t>3:00,5</t>
  </si>
  <si>
    <t>Hartmann Dóra</t>
  </si>
  <si>
    <t>Sztraczinszki Betti</t>
  </si>
  <si>
    <t>3:26,3</t>
  </si>
  <si>
    <t>Benkó Csilla</t>
  </si>
  <si>
    <t>Juhász Kinga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</si>
</sst>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0000000"/>
  </numFmts>
  <fonts count="18" x14ac:knownFonts="1">
    <font>
      <sz val="10"/>
      <color rgb="FF000000"/>
      <name val="Arial"/>
      <scheme val="minor"/>
    </font>
    <font>
      <b/>
      <sz val="12"/>
      <color theme="1"/>
      <name val="Oswald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Oswald"/>
    </font>
    <font>
      <b/>
      <sz val="8"/>
      <color theme="1"/>
      <name val="Oswald"/>
    </font>
    <font>
      <sz val="8"/>
      <color theme="1"/>
      <name val="Oswald"/>
    </font>
    <font>
      <sz val="8"/>
      <color theme="1"/>
      <name val="Arial"/>
      <scheme val="minor"/>
    </font>
    <font>
      <b/>
      <sz val="11"/>
      <color theme="1"/>
      <name val="Arial"/>
      <scheme val="minor"/>
    </font>
    <font>
      <b/>
      <sz val="11"/>
      <color rgb="FF5B0F00"/>
      <name val="Arial"/>
      <scheme val="minor"/>
    </font>
    <font>
      <sz val="10"/>
      <name val="Arial"/>
    </font>
    <font>
      <b/>
      <sz val="12"/>
      <color rgb="FF660000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</font>
    <font>
      <i/>
      <sz val="10"/>
      <color theme="1"/>
      <name val="Arial"/>
      <scheme val="minor"/>
    </font>
    <font>
      <b/>
      <i/>
      <sz val="10"/>
      <color theme="1"/>
      <name val="Arial"/>
      <scheme val="minor"/>
    </font>
    <font>
      <sz val="10"/>
      <color rgb="FFF3F3F3"/>
      <name val="Arial"/>
      <scheme val="minor"/>
    </font>
    <font>
      <b/>
      <sz val="11"/>
      <color rgb="FFF3F3F3"/>
      <name val="Arial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1F7E8"/>
        <bgColor rgb="FFF1F7E8"/>
      </patternFill>
    </fill>
    <fill>
      <patternFill patternType="solid">
        <fgColor rgb="FFF3F3F3"/>
        <bgColor rgb="FFF3F3F3"/>
      </patternFill>
    </fill>
    <fill>
      <patternFill patternType="solid">
        <fgColor rgb="FFF1C232"/>
        <bgColor rgb="FFF1C23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4" xfId="0" applyFont="1" applyFill="1" applyBorder="1"/>
    <xf numFmtId="49" fontId="6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4" xfId="0" applyFont="1" applyBorder="1" applyAlignment="1">
      <alignment horizontal="left" vertical="top"/>
    </xf>
    <xf numFmtId="2" fontId="11" fillId="0" borderId="1" xfId="0" applyNumberFormat="1" applyFont="1" applyBorder="1" applyAlignment="1">
      <alignment horizontal="right" vertical="top"/>
    </xf>
    <xf numFmtId="164" fontId="11" fillId="4" borderId="1" xfId="0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horizontal="right" vertical="top"/>
    </xf>
    <xf numFmtId="0" fontId="12" fillId="0" borderId="0" xfId="0" applyFont="1" applyAlignment="1">
      <alignment vertical="top"/>
    </xf>
    <xf numFmtId="0" fontId="2" fillId="0" borderId="4" xfId="0" applyFont="1" applyBorder="1" applyAlignment="1">
      <alignment horizontal="left"/>
    </xf>
    <xf numFmtId="0" fontId="3" fillId="0" borderId="4" xfId="0" applyFont="1" applyBorder="1"/>
    <xf numFmtId="49" fontId="13" fillId="0" borderId="4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3" fillId="6" borderId="4" xfId="0" applyNumberFormat="1" applyFont="1" applyFill="1" applyBorder="1" applyAlignment="1">
      <alignment horizontal="right"/>
    </xf>
    <xf numFmtId="2" fontId="2" fillId="7" borderId="4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4" fillId="0" borderId="1" xfId="0" applyFont="1" applyBorder="1"/>
    <xf numFmtId="0" fontId="14" fillId="0" borderId="3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right"/>
    </xf>
    <xf numFmtId="2" fontId="14" fillId="0" borderId="3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49" fontId="3" fillId="0" borderId="4" xfId="0" applyNumberFormat="1" applyFont="1" applyBorder="1" applyAlignment="1">
      <alignment horizontal="center"/>
    </xf>
    <xf numFmtId="165" fontId="3" fillId="0" borderId="0" xfId="0" applyNumberFormat="1" applyFont="1"/>
    <xf numFmtId="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9" fillId="0" borderId="3" xfId="0" applyFont="1" applyBorder="1" applyAlignment="1">
      <alignment horizontal="left" vertical="top" wrapText="1"/>
    </xf>
    <xf numFmtId="49" fontId="14" fillId="6" borderId="4" xfId="0" applyNumberFormat="1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" fontId="14" fillId="0" borderId="3" xfId="0" applyNumberFormat="1" applyFont="1" applyBorder="1" applyAlignment="1">
      <alignment horizontal="right"/>
    </xf>
    <xf numFmtId="2" fontId="16" fillId="0" borderId="0" xfId="0" applyNumberFormat="1" applyFont="1"/>
    <xf numFmtId="164" fontId="11" fillId="6" borderId="1" xfId="0" applyNumberFormat="1" applyFont="1" applyFill="1" applyBorder="1" applyAlignment="1">
      <alignment horizontal="right" vertical="top"/>
    </xf>
    <xf numFmtId="2" fontId="17" fillId="0" borderId="0" xfId="0" applyNumberFormat="1" applyFont="1" applyAlignment="1">
      <alignment horizontal="right" vertical="top"/>
    </xf>
    <xf numFmtId="0" fontId="2" fillId="0" borderId="6" xfId="0" applyFont="1" applyBorder="1" applyAlignment="1">
      <alignment horizontal="left"/>
    </xf>
    <xf numFmtId="49" fontId="3" fillId="0" borderId="6" xfId="0" applyNumberFormat="1" applyFont="1" applyBorder="1" applyAlignment="1">
      <alignment horizontal="center"/>
    </xf>
    <xf numFmtId="0" fontId="3" fillId="0" borderId="0" xfId="0" applyFont="1"/>
    <xf numFmtId="0" fontId="1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3" fillId="8" borderId="2" xfId="0" applyFont="1" applyFill="1" applyBorder="1"/>
    <xf numFmtId="49" fontId="3" fillId="8" borderId="2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right"/>
    </xf>
    <xf numFmtId="49" fontId="2" fillId="8" borderId="2" xfId="0" applyNumberFormat="1" applyFont="1" applyFill="1" applyBorder="1" applyAlignment="1">
      <alignment horizontal="right"/>
    </xf>
    <xf numFmtId="164" fontId="3" fillId="8" borderId="2" xfId="0" applyNumberFormat="1" applyFont="1" applyFill="1" applyBorder="1" applyAlignment="1">
      <alignment horizontal="right"/>
    </xf>
    <xf numFmtId="4" fontId="3" fillId="8" borderId="2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 vertical="top" wrapText="1"/>
    </xf>
    <xf numFmtId="0" fontId="10" fillId="0" borderId="2" xfId="0" applyFont="1" applyBorder="1"/>
    <xf numFmtId="0" fontId="10" fillId="0" borderId="3" xfId="0" applyFont="1" applyBorder="1"/>
    <xf numFmtId="49" fontId="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</cellXfs>
  <cellStyles count="1">
    <cellStyle name="Normál" xfId="0" builtinId="0"/>
  </cellStyles>
  <dxfs count="1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3763"/>
    <outlinePr summaryBelow="0" summaryRight="0"/>
  </sheetPr>
  <dimension ref="A1:AK742"/>
  <sheetViews>
    <sheetView showGridLines="0" tabSelected="1" workbookViewId="0">
      <pane ySplit="3" topLeftCell="A4" activePane="bottomLeft" state="frozen"/>
      <selection pane="bottomLeft" activeCell="V8" sqref="V8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16" width="4.109375" customWidth="1"/>
    <col min="17" max="17" width="6.88671875" customWidth="1"/>
    <col min="18" max="18" width="5.88671875" customWidth="1"/>
    <col min="20" max="20" width="8.21875" customWidth="1"/>
    <col min="22" max="22" width="38.109375" customWidth="1"/>
  </cols>
  <sheetData>
    <row r="1" spans="1:37" ht="25.8" x14ac:dyDescent="0.8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7"/>
      <c r="S1" s="8"/>
      <c r="T1" s="8"/>
    </row>
    <row r="2" spans="1:37" ht="16.2" x14ac:dyDescent="0.5">
      <c r="A2" s="9" t="s">
        <v>1</v>
      </c>
      <c r="B2" s="10" t="s">
        <v>2</v>
      </c>
      <c r="C2" s="11"/>
      <c r="D2" s="12" t="s">
        <v>3</v>
      </c>
      <c r="E2" s="12" t="e">
        <f>#REF!</f>
        <v>#REF!</v>
      </c>
      <c r="F2" s="12" t="e">
        <f>#REF!</f>
        <v>#REF!</v>
      </c>
      <c r="G2" s="12" t="e">
        <f>#REF!</f>
        <v>#REF!</v>
      </c>
      <c r="H2" s="12" t="e">
        <f>#REF!</f>
        <v>#REF!</v>
      </c>
      <c r="I2" s="12" t="e">
        <f>#REF!</f>
        <v>#REF!</v>
      </c>
      <c r="J2" s="12" t="e">
        <f>#REF!</f>
        <v>#REF!</v>
      </c>
      <c r="K2" s="12" t="e">
        <f>#REF!</f>
        <v>#REF!</v>
      </c>
      <c r="L2" s="12" t="e">
        <f>#REF!</f>
        <v>#REF!</v>
      </c>
      <c r="M2" s="12" t="e">
        <f>#REF!</f>
        <v>#REF!</v>
      </c>
      <c r="N2" s="12" t="e">
        <f>#REF!</f>
        <v>#REF!</v>
      </c>
      <c r="O2" s="12" t="e">
        <f>#REF!</f>
        <v>#REF!</v>
      </c>
      <c r="P2" s="12" t="e">
        <f>#REF!</f>
        <v>#REF!</v>
      </c>
      <c r="Q2" s="13" t="s">
        <v>4</v>
      </c>
      <c r="R2" s="13" t="s">
        <v>5</v>
      </c>
      <c r="S2" s="14" t="s">
        <v>6</v>
      </c>
      <c r="T2" s="15" t="s">
        <v>7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13.2" x14ac:dyDescent="0.25">
      <c r="A3" s="17"/>
      <c r="B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20"/>
      <c r="S3" s="21"/>
      <c r="T3" s="22"/>
    </row>
    <row r="4" spans="1:37" ht="15.6" x14ac:dyDescent="0.25">
      <c r="A4" s="23">
        <v>1</v>
      </c>
      <c r="B4" s="72" t="s">
        <v>8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24"/>
      <c r="S4" s="25">
        <f ca="1">IF(COUNTIFS(R5:R9,"&gt;0") &gt; 3, FLOOR((SUM(R5:R9)-MIN(R5,R6,R7,R8,R9))/4,0.0001), )</f>
        <v>1.7000000000000002</v>
      </c>
      <c r="T4" s="26">
        <f ca="1">IF(S4=0,"",RANK(S4,$S$4:$S$59,))</f>
        <v>1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ht="18.75" customHeight="1" x14ac:dyDescent="0.25">
      <c r="A5" s="17"/>
      <c r="B5" s="28">
        <v>1</v>
      </c>
      <c r="C5" s="29" t="s">
        <v>9</v>
      </c>
      <c r="D5" s="30" t="s">
        <v>10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 t="s">
        <v>11</v>
      </c>
      <c r="R5" s="33">
        <f ca="1">IFERROR(__xludf.DUMMYFUNCTION("IF(REGEXMATCH(Q5,""^\d,\d\d$""),VALUE(Q5),0)"),1.75)</f>
        <v>1.75</v>
      </c>
      <c r="S5" s="21"/>
      <c r="T5" s="22"/>
    </row>
    <row r="6" spans="1:37" ht="18.75" customHeight="1" x14ac:dyDescent="0.25">
      <c r="A6" s="17"/>
      <c r="B6" s="28">
        <v>2</v>
      </c>
      <c r="C6" s="29" t="s">
        <v>12</v>
      </c>
      <c r="D6" s="30" t="s">
        <v>10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 t="s">
        <v>13</v>
      </c>
      <c r="R6" s="33">
        <f ca="1">IFERROR(__xludf.DUMMYFUNCTION("IF(REGEXMATCH(Q6,""^\d,\d\d$""),VALUE(Q6),0)"),1.65)</f>
        <v>1.65</v>
      </c>
      <c r="S6" s="21"/>
      <c r="T6" s="22"/>
    </row>
    <row r="7" spans="1:37" ht="18.75" customHeight="1" x14ac:dyDescent="0.25">
      <c r="A7" s="17"/>
      <c r="B7" s="28">
        <v>3</v>
      </c>
      <c r="C7" s="29" t="s">
        <v>14</v>
      </c>
      <c r="D7" s="30" t="s">
        <v>15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s">
        <v>16</v>
      </c>
      <c r="R7" s="33">
        <f ca="1">IFERROR(__xludf.DUMMYFUNCTION("IF(REGEXMATCH(Q7,""^\d,\d\d$""),VALUE(Q7),0)"),1.55)</f>
        <v>1.55</v>
      </c>
      <c r="S7" s="21"/>
      <c r="T7" s="22"/>
    </row>
    <row r="8" spans="1:37" ht="18.75" customHeight="1" x14ac:dyDescent="0.25">
      <c r="A8" s="17"/>
      <c r="B8" s="28">
        <v>4</v>
      </c>
      <c r="C8" s="29" t="s">
        <v>17</v>
      </c>
      <c r="D8" s="30" t="s">
        <v>18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2" t="s">
        <v>19</v>
      </c>
      <c r="R8" s="33">
        <f ca="1">IFERROR(__xludf.DUMMYFUNCTION("IF(REGEXMATCH(Q8,""^\d,\d\d$""),VALUE(Q8),0)"),1.8)</f>
        <v>1.8</v>
      </c>
      <c r="S8" s="21"/>
      <c r="T8" s="22"/>
    </row>
    <row r="9" spans="1:37" ht="18.75" customHeight="1" x14ac:dyDescent="0.25">
      <c r="A9" s="17"/>
      <c r="B9" s="28">
        <v>5</v>
      </c>
      <c r="C9" s="29" t="s">
        <v>20</v>
      </c>
      <c r="D9" s="30" t="s">
        <v>18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 t="s">
        <v>27</v>
      </c>
      <c r="R9" s="33">
        <v>1.6</v>
      </c>
      <c r="S9" s="21"/>
      <c r="T9" s="22"/>
    </row>
    <row r="10" spans="1:37" ht="13.2" x14ac:dyDescent="0.25">
      <c r="A10" s="34"/>
      <c r="B10" s="35" t="s">
        <v>22</v>
      </c>
      <c r="C10" s="36"/>
      <c r="D10" s="37" t="s">
        <v>23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41"/>
      <c r="T10" s="42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3.2" x14ac:dyDescent="0.25">
      <c r="A11" s="17"/>
      <c r="B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/>
      <c r="S11" s="21"/>
      <c r="T11" s="22"/>
    </row>
    <row r="12" spans="1:37" ht="15.6" x14ac:dyDescent="0.25">
      <c r="A12" s="23">
        <v>2</v>
      </c>
      <c r="B12" s="72" t="s">
        <v>24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24"/>
      <c r="S12" s="25">
        <f ca="1">IF(COUNTIFS(R13:R17,"&gt;0") &gt; 3, FLOOR((SUM(R13:R17)-MIN(R13,R14,R15,R16,R17))/4,0.0001), )</f>
        <v>1.6125</v>
      </c>
      <c r="T12" s="26">
        <f ca="1">IF(S12=0,"",RANK(S12,$S$4:$S$59,))</f>
        <v>2</v>
      </c>
    </row>
    <row r="13" spans="1:37" ht="18.75" customHeight="1" x14ac:dyDescent="0.25">
      <c r="A13" s="17"/>
      <c r="B13" s="28">
        <v>1</v>
      </c>
      <c r="C13" s="29" t="s">
        <v>25</v>
      </c>
      <c r="D13" s="44" t="s">
        <v>26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 t="s">
        <v>27</v>
      </c>
      <c r="R13" s="33">
        <f ca="1">IFERROR(__xludf.DUMMYFUNCTION("IF(REGEXMATCH(Q13,""^\d,\d\d$""),VALUE(Q13),0)"),1.6)</f>
        <v>1.6</v>
      </c>
      <c r="S13" s="21"/>
      <c r="T13" s="22"/>
    </row>
    <row r="14" spans="1:37" ht="18.75" customHeight="1" x14ac:dyDescent="0.25">
      <c r="A14" s="17"/>
      <c r="B14" s="28">
        <v>2</v>
      </c>
      <c r="C14" s="29" t="s">
        <v>28</v>
      </c>
      <c r="D14" s="44" t="s">
        <v>10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 t="s">
        <v>13</v>
      </c>
      <c r="R14" s="33">
        <f ca="1">IFERROR(__xludf.DUMMYFUNCTION("IF(REGEXMATCH(Q14,""^\d,\d\d$""),VALUE(Q14),0)"),1.65)</f>
        <v>1.65</v>
      </c>
      <c r="S14" s="21"/>
      <c r="T14" s="22"/>
    </row>
    <row r="15" spans="1:37" ht="18.75" customHeight="1" x14ac:dyDescent="0.25">
      <c r="A15" s="17"/>
      <c r="B15" s="28">
        <v>3</v>
      </c>
      <c r="C15" s="29" t="s">
        <v>29</v>
      </c>
      <c r="D15" s="44" t="s">
        <v>18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 t="s">
        <v>16</v>
      </c>
      <c r="R15" s="33">
        <f ca="1">IFERROR(__xludf.DUMMYFUNCTION("IF(REGEXMATCH(Q15,""^\d,\d\d$""),VALUE(Q15),0)"),1.55)</f>
        <v>1.55</v>
      </c>
      <c r="S15" s="21"/>
      <c r="T15" s="22"/>
    </row>
    <row r="16" spans="1:37" ht="18.75" customHeight="1" x14ac:dyDescent="0.25">
      <c r="A16" s="17"/>
      <c r="B16" s="28">
        <v>4</v>
      </c>
      <c r="C16" s="29" t="s">
        <v>30</v>
      </c>
      <c r="D16" s="44" t="s">
        <v>10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 t="s">
        <v>13</v>
      </c>
      <c r="R16" s="33">
        <f ca="1">IFERROR(__xludf.DUMMYFUNCTION("IF(REGEXMATCH(Q16,""^\d,\d\d$""),VALUE(Q16),0)"),1.65)</f>
        <v>1.65</v>
      </c>
      <c r="S16" s="21"/>
      <c r="T16" s="22"/>
    </row>
    <row r="17" spans="1:37" ht="18.75" customHeight="1" x14ac:dyDescent="0.25">
      <c r="A17" s="17"/>
      <c r="B17" s="28">
        <v>5</v>
      </c>
      <c r="C17" s="29" t="s">
        <v>31</v>
      </c>
      <c r="D17" s="44" t="s">
        <v>32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 t="s">
        <v>33</v>
      </c>
      <c r="R17" s="33">
        <f ca="1">IFERROR(__xludf.DUMMYFUNCTION("IF(REGEXMATCH(Q17,""^\d,\d\d$""),VALUE(Q17),0)"),0)</f>
        <v>0</v>
      </c>
      <c r="S17" s="21"/>
      <c r="T17" s="22"/>
    </row>
    <row r="18" spans="1:37" ht="13.2" x14ac:dyDescent="0.25">
      <c r="A18" s="34"/>
      <c r="B18" s="35" t="s">
        <v>22</v>
      </c>
      <c r="C18" s="36"/>
      <c r="D18" s="37" t="s">
        <v>34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40"/>
      <c r="S18" s="41"/>
      <c r="T18" s="42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</row>
    <row r="19" spans="1:37" ht="13.2" x14ac:dyDescent="0.25">
      <c r="A19" s="17"/>
      <c r="B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/>
      <c r="S19" s="21"/>
      <c r="T19" s="22"/>
    </row>
    <row r="20" spans="1:37" ht="15.6" x14ac:dyDescent="0.25">
      <c r="A20" s="23">
        <v>3</v>
      </c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24"/>
      <c r="S20" s="25">
        <f ca="1">IF(COUNTIFS(R21:R25,"&gt;0") &gt; 3, FLOOR((SUM(R21:R25)-MIN(R21,R22,R23,R24,R25))/4,0.0001), )</f>
        <v>1.5750000000000002</v>
      </c>
      <c r="T20" s="26">
        <f ca="1">IF(S20=0,"",RANK(S20,$S$4:$S$59,))</f>
        <v>3</v>
      </c>
      <c r="V20" s="45"/>
    </row>
    <row r="21" spans="1:37" ht="13.2" x14ac:dyDescent="0.25">
      <c r="A21" s="17"/>
      <c r="B21" s="28">
        <v>1</v>
      </c>
      <c r="C21" s="29" t="s">
        <v>36</v>
      </c>
      <c r="D21" s="44" t="s">
        <v>10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 t="s">
        <v>37</v>
      </c>
      <c r="R21" s="33">
        <f ca="1">IFERROR(__xludf.DUMMYFUNCTION("IF(REGEXMATCH(Q21,""^\d,\d\d$""),VALUE(Q21),0)"),1.7)</f>
        <v>1.7</v>
      </c>
      <c r="S21" s="21"/>
      <c r="T21" s="22"/>
    </row>
    <row r="22" spans="1:37" ht="13.2" x14ac:dyDescent="0.25">
      <c r="A22" s="17"/>
      <c r="B22" s="28">
        <v>2</v>
      </c>
      <c r="C22" s="29" t="s">
        <v>38</v>
      </c>
      <c r="D22" s="44" t="s">
        <v>18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 t="s">
        <v>39</v>
      </c>
      <c r="R22" s="33">
        <f ca="1">IFERROR(__xludf.DUMMYFUNCTION("IF(REGEXMATCH(Q22,""^\d,\d\d$""),VALUE(Q22),0)"),1.5)</f>
        <v>1.5</v>
      </c>
      <c r="S22" s="21"/>
      <c r="T22" s="22"/>
    </row>
    <row r="23" spans="1:37" ht="13.2" x14ac:dyDescent="0.25">
      <c r="A23" s="17"/>
      <c r="B23" s="28">
        <v>3</v>
      </c>
      <c r="C23" s="29" t="s">
        <v>40</v>
      </c>
      <c r="D23" s="44" t="s">
        <v>41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 t="s">
        <v>21</v>
      </c>
      <c r="R23" s="33">
        <f ca="1">IFERROR(__xludf.DUMMYFUNCTION("IF(REGEXMATCH(Q23,""^\d,\d\d$""),VALUE(Q23),0)"),1.45)</f>
        <v>1.45</v>
      </c>
      <c r="S23" s="21"/>
      <c r="T23" s="22"/>
    </row>
    <row r="24" spans="1:37" ht="13.2" x14ac:dyDescent="0.25">
      <c r="A24" s="17"/>
      <c r="B24" s="28">
        <v>4</v>
      </c>
      <c r="C24" s="29" t="s">
        <v>42</v>
      </c>
      <c r="D24" s="44" t="s">
        <v>15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 t="s">
        <v>43</v>
      </c>
      <c r="R24" s="33">
        <f ca="1">IFERROR(__xludf.DUMMYFUNCTION("IF(REGEXMATCH(Q24,""^\d,\d\d$""),VALUE(Q24),0)"),1.4)</f>
        <v>1.4</v>
      </c>
      <c r="S24" s="21"/>
      <c r="T24" s="22"/>
    </row>
    <row r="25" spans="1:37" ht="13.2" x14ac:dyDescent="0.25">
      <c r="A25" s="17"/>
      <c r="B25" s="28">
        <v>5</v>
      </c>
      <c r="C25" s="29" t="s">
        <v>44</v>
      </c>
      <c r="D25" s="44" t="s">
        <v>10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 t="s">
        <v>13</v>
      </c>
      <c r="R25" s="33">
        <f ca="1">IFERROR(__xludf.DUMMYFUNCTION("IF(REGEXMATCH(Q25,""^\d,\d\d$""),VALUE(Q25),0)"),1.65)</f>
        <v>1.65</v>
      </c>
      <c r="S25" s="21"/>
      <c r="T25" s="22"/>
    </row>
    <row r="26" spans="1:37" ht="13.2" x14ac:dyDescent="0.25">
      <c r="A26" s="34"/>
      <c r="B26" s="35" t="s">
        <v>22</v>
      </c>
      <c r="C26" s="36"/>
      <c r="D26" s="37" t="s">
        <v>45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  <c r="R26" s="40"/>
      <c r="S26" s="41"/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</row>
    <row r="27" spans="1:37" ht="13.2" x14ac:dyDescent="0.25">
      <c r="A27" s="17"/>
      <c r="B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20"/>
      <c r="S27" s="21"/>
      <c r="T27" s="22"/>
    </row>
    <row r="28" spans="1:37" ht="15.6" x14ac:dyDescent="0.25">
      <c r="A28" s="23">
        <v>4</v>
      </c>
      <c r="B28" s="72" t="s">
        <v>46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24"/>
      <c r="S28" s="25">
        <f ca="1">IF(COUNTIFS(R29:R33,"&gt;0") &gt; 3, FLOOR((SUM(R29:R33)-MIN(R29,R30,R31,R32,R33))/4,0.0001), )</f>
        <v>1.5625</v>
      </c>
      <c r="T28" s="26">
        <f ca="1">IF(S28=0,"",RANK(S28,$S$4:$S$59,))</f>
        <v>4</v>
      </c>
    </row>
    <row r="29" spans="1:37" ht="13.2" x14ac:dyDescent="0.25">
      <c r="A29" s="17"/>
      <c r="B29" s="28">
        <v>1</v>
      </c>
      <c r="C29" s="29" t="s">
        <v>47</v>
      </c>
      <c r="D29" s="44" t="s">
        <v>26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 t="s">
        <v>27</v>
      </c>
      <c r="R29" s="33">
        <f ca="1">IFERROR(__xludf.DUMMYFUNCTION("IF(REGEXMATCH(Q29,""^\d,\d\d$""),VALUE(Q29),0)"),1.6)</f>
        <v>1.6</v>
      </c>
      <c r="S29" s="21"/>
      <c r="T29" s="22"/>
    </row>
    <row r="30" spans="1:37" ht="13.2" x14ac:dyDescent="0.25">
      <c r="A30" s="17"/>
      <c r="B30" s="28">
        <v>2</v>
      </c>
      <c r="C30" s="29" t="s">
        <v>48</v>
      </c>
      <c r="D30" s="44" t="s">
        <v>10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 t="s">
        <v>16</v>
      </c>
      <c r="R30" s="33">
        <f ca="1">IFERROR(__xludf.DUMMYFUNCTION("IF(REGEXMATCH(Q30,""^\d,\d\d$""),VALUE(Q30),0)"),1.55)</f>
        <v>1.55</v>
      </c>
      <c r="S30" s="21"/>
      <c r="T30" s="22"/>
    </row>
    <row r="31" spans="1:37" ht="13.2" x14ac:dyDescent="0.25">
      <c r="A31" s="17"/>
      <c r="B31" s="28">
        <v>3</v>
      </c>
      <c r="C31" s="29" t="s">
        <v>49</v>
      </c>
      <c r="D31" s="44" t="s">
        <v>26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 t="s">
        <v>39</v>
      </c>
      <c r="R31" s="33">
        <f ca="1">IFERROR(__xludf.DUMMYFUNCTION("IF(REGEXMATCH(Q31,""^\d,\d\d$""),VALUE(Q31),0)"),1.5)</f>
        <v>1.5</v>
      </c>
      <c r="S31" s="21"/>
      <c r="T31" s="22"/>
    </row>
    <row r="32" spans="1:37" ht="13.2" x14ac:dyDescent="0.25">
      <c r="A32" s="17"/>
      <c r="B32" s="28">
        <v>4</v>
      </c>
      <c r="C32" s="29" t="s">
        <v>50</v>
      </c>
      <c r="D32" s="44" t="s">
        <v>18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 t="s">
        <v>27</v>
      </c>
      <c r="R32" s="33">
        <f ca="1">IFERROR(__xludf.DUMMYFUNCTION("IF(REGEXMATCH(Q32,""^\d,\d\d$""),VALUE(Q32),0)"),1.6)</f>
        <v>1.6</v>
      </c>
      <c r="S32" s="21"/>
      <c r="T32" s="22"/>
    </row>
    <row r="33" spans="1:37" ht="13.2" x14ac:dyDescent="0.25">
      <c r="A33" s="17"/>
      <c r="B33" s="28">
        <v>5</v>
      </c>
      <c r="C33" s="29"/>
      <c r="D33" s="44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2"/>
      <c r="R33" s="33">
        <f ca="1">IFERROR(__xludf.DUMMYFUNCTION("IF(REGEXMATCH(Q33,""^\d,\d\d$""),VALUE(Q33),0)"),0)</f>
        <v>0</v>
      </c>
      <c r="S33" s="21"/>
      <c r="T33" s="22"/>
    </row>
    <row r="34" spans="1:37" ht="13.2" x14ac:dyDescent="0.25">
      <c r="A34" s="34"/>
      <c r="B34" s="35" t="s">
        <v>22</v>
      </c>
      <c r="C34" s="36"/>
      <c r="D34" s="37" t="s">
        <v>34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40"/>
      <c r="S34" s="41"/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t="13.2" x14ac:dyDescent="0.25">
      <c r="A35" s="17"/>
      <c r="B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20"/>
      <c r="S35" s="21"/>
      <c r="T35" s="22"/>
    </row>
    <row r="36" spans="1:37" ht="15.6" x14ac:dyDescent="0.25">
      <c r="A36" s="23">
        <v>5</v>
      </c>
      <c r="B36" s="72" t="s">
        <v>51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  <c r="R36" s="24"/>
      <c r="S36" s="25">
        <f ca="1">IF(COUNTIFS(R37:R41,"&gt;0") &gt; 3, FLOOR((SUM(R37:R41)-MIN(R37,R38,R39,R40,R41))/4,0.0001), )</f>
        <v>1.5625</v>
      </c>
      <c r="T36" s="26">
        <f ca="1">IF(S36=0,"",RANK(S36,$S$4:$S$59,))</f>
        <v>4</v>
      </c>
    </row>
    <row r="37" spans="1:37" ht="13.2" x14ac:dyDescent="0.25">
      <c r="A37" s="17"/>
      <c r="B37" s="28">
        <v>1</v>
      </c>
      <c r="C37" s="29" t="s">
        <v>52</v>
      </c>
      <c r="D37" s="44" t="s">
        <v>18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2" t="s">
        <v>37</v>
      </c>
      <c r="R37" s="33">
        <f ca="1">IFERROR(__xludf.DUMMYFUNCTION("IF(REGEXMATCH(Q37,""^\d,\d\d$""),VALUE(Q37),0)"),1.7)</f>
        <v>1.7</v>
      </c>
      <c r="S37" s="21"/>
      <c r="T37" s="22"/>
    </row>
    <row r="38" spans="1:37" ht="13.2" x14ac:dyDescent="0.25">
      <c r="A38" s="17"/>
      <c r="B38" s="28">
        <v>2</v>
      </c>
      <c r="C38" s="29" t="s">
        <v>53</v>
      </c>
      <c r="D38" s="44" t="s">
        <v>18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2" t="s">
        <v>16</v>
      </c>
      <c r="R38" s="33">
        <f ca="1">IFERROR(__xludf.DUMMYFUNCTION("IF(REGEXMATCH(Q38,""^\d,\d\d$""),VALUE(Q38),0)"),1.55)</f>
        <v>1.55</v>
      </c>
      <c r="S38" s="21"/>
      <c r="T38" s="22"/>
    </row>
    <row r="39" spans="1:37" ht="13.2" x14ac:dyDescent="0.25">
      <c r="A39" s="17"/>
      <c r="B39" s="28">
        <v>3</v>
      </c>
      <c r="C39" s="29" t="s">
        <v>54</v>
      </c>
      <c r="D39" s="44" t="s">
        <v>26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 t="s">
        <v>39</v>
      </c>
      <c r="R39" s="33">
        <f ca="1">IFERROR(__xludf.DUMMYFUNCTION("IF(REGEXMATCH(Q39,""^\d,\d\d$""),VALUE(Q39),0)"),1.5)</f>
        <v>1.5</v>
      </c>
      <c r="S39" s="21"/>
      <c r="T39" s="22"/>
    </row>
    <row r="40" spans="1:37" ht="13.2" x14ac:dyDescent="0.25">
      <c r="A40" s="17"/>
      <c r="B40" s="28">
        <v>4</v>
      </c>
      <c r="C40" s="29" t="s">
        <v>55</v>
      </c>
      <c r="D40" s="44" t="s">
        <v>18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 t="s">
        <v>33</v>
      </c>
      <c r="R40" s="33">
        <f ca="1">IFERROR(__xludf.DUMMYFUNCTION("IF(REGEXMATCH(Q40,""^\d,\d\d$""),VALUE(Q40),0)"),0)</f>
        <v>0</v>
      </c>
      <c r="S40" s="21"/>
      <c r="T40" s="22"/>
    </row>
    <row r="41" spans="1:37" ht="13.2" x14ac:dyDescent="0.25">
      <c r="A41" s="17"/>
      <c r="B41" s="28">
        <v>5</v>
      </c>
      <c r="C41" s="29" t="s">
        <v>56</v>
      </c>
      <c r="D41" s="44" t="s">
        <v>10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 t="s">
        <v>39</v>
      </c>
      <c r="R41" s="33">
        <f ca="1">IFERROR(__xludf.DUMMYFUNCTION("IF(REGEXMATCH(Q41,""^\d,\d\d$""),VALUE(Q41),0)"),1.5)</f>
        <v>1.5</v>
      </c>
      <c r="S41" s="21"/>
      <c r="T41" s="22"/>
    </row>
    <row r="42" spans="1:37" ht="13.2" x14ac:dyDescent="0.25">
      <c r="A42" s="34"/>
      <c r="B42" s="35" t="s">
        <v>22</v>
      </c>
      <c r="C42" s="36"/>
      <c r="D42" s="37" t="s">
        <v>57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 s="40"/>
      <c r="S42" s="41"/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t="13.2" x14ac:dyDescent="0.25">
      <c r="A43" s="17"/>
      <c r="B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21"/>
      <c r="T43" s="22"/>
    </row>
    <row r="44" spans="1:37" ht="15.6" x14ac:dyDescent="0.25">
      <c r="A44" s="23">
        <v>6</v>
      </c>
      <c r="B44" s="72" t="s">
        <v>58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24"/>
      <c r="S44" s="25">
        <f ca="1">IF(COUNTIFS(R45:R49,"&gt;0") &gt; 3, FLOOR((SUM(R45:R49)-MIN(R45,R46,R47,R48,R49))/4,0.0001), )</f>
        <v>1.4875</v>
      </c>
      <c r="T44" s="26">
        <f ca="1">IF(S44=0,"",RANK(S44,$S$4:$S$59,))</f>
        <v>6</v>
      </c>
    </row>
    <row r="45" spans="1:37" ht="13.2" x14ac:dyDescent="0.25">
      <c r="A45" s="17"/>
      <c r="B45" s="28">
        <v>1</v>
      </c>
      <c r="C45" s="29" t="s">
        <v>59</v>
      </c>
      <c r="D45" s="44" t="s">
        <v>10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 t="s">
        <v>27</v>
      </c>
      <c r="R45" s="33">
        <f ca="1">IFERROR(__xludf.DUMMYFUNCTION("IF(REGEXMATCH(Q45,""^\d,\d\d$""),VALUE(Q45),0)"),1.6)</f>
        <v>1.6</v>
      </c>
      <c r="S45" s="21"/>
      <c r="T45" s="22"/>
    </row>
    <row r="46" spans="1:37" ht="13.2" x14ac:dyDescent="0.25">
      <c r="A46" s="17"/>
      <c r="B46" s="28">
        <v>2</v>
      </c>
      <c r="C46" s="29" t="s">
        <v>60</v>
      </c>
      <c r="D46" s="44" t="s">
        <v>18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 t="s">
        <v>43</v>
      </c>
      <c r="R46" s="33">
        <f ca="1">IFERROR(__xludf.DUMMYFUNCTION("IF(REGEXMATCH(Q46,""^\d,\d\d$""),VALUE(Q46),0)"),1.4)</f>
        <v>1.4</v>
      </c>
      <c r="S46" s="21"/>
      <c r="T46" s="22"/>
    </row>
    <row r="47" spans="1:37" ht="13.2" x14ac:dyDescent="0.25">
      <c r="A47" s="17"/>
      <c r="B47" s="28">
        <v>3</v>
      </c>
      <c r="C47" s="29" t="s">
        <v>61</v>
      </c>
      <c r="D47" s="44" t="s">
        <v>18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2" t="s">
        <v>16</v>
      </c>
      <c r="R47" s="33">
        <f ca="1">IFERROR(__xludf.DUMMYFUNCTION("IF(REGEXMATCH(Q47,""^\d,\d\d$""),VALUE(Q47),0)"),1.55)</f>
        <v>1.55</v>
      </c>
      <c r="S47" s="21"/>
      <c r="T47" s="22"/>
    </row>
    <row r="48" spans="1:37" ht="13.2" x14ac:dyDescent="0.25">
      <c r="A48" s="17"/>
      <c r="B48" s="28">
        <v>4</v>
      </c>
      <c r="C48" s="29" t="s">
        <v>62</v>
      </c>
      <c r="D48" s="44" t="s">
        <v>18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 t="s">
        <v>43</v>
      </c>
      <c r="R48" s="33">
        <f ca="1">IFERROR(__xludf.DUMMYFUNCTION("IF(REGEXMATCH(Q48,""^\d,\d\d$""),VALUE(Q48),0)"),1.4)</f>
        <v>1.4</v>
      </c>
      <c r="S48" s="21"/>
      <c r="T48" s="22"/>
    </row>
    <row r="49" spans="1:37" ht="13.2" x14ac:dyDescent="0.25">
      <c r="A49" s="17"/>
      <c r="B49" s="28">
        <v>5</v>
      </c>
      <c r="C49" s="29"/>
      <c r="D49" s="44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33">
        <f ca="1">IFERROR(__xludf.DUMMYFUNCTION("IF(REGEXMATCH(Q49,""^\d,\d\d$""),VALUE(Q49),0)"),0)</f>
        <v>0</v>
      </c>
      <c r="S49" s="21"/>
      <c r="T49" s="22"/>
    </row>
    <row r="50" spans="1:37" ht="13.2" x14ac:dyDescent="0.25">
      <c r="A50" s="34"/>
      <c r="B50" s="35" t="s">
        <v>22</v>
      </c>
      <c r="C50" s="36"/>
      <c r="D50" s="37" t="s">
        <v>63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0"/>
      <c r="S50" s="41"/>
      <c r="T50" s="42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</row>
    <row r="51" spans="1:37" ht="13.2" x14ac:dyDescent="0.25">
      <c r="A51" s="17"/>
      <c r="B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20"/>
      <c r="S51" s="21"/>
      <c r="T51" s="22"/>
    </row>
    <row r="52" spans="1:37" ht="15.6" x14ac:dyDescent="0.25">
      <c r="A52" s="23">
        <v>7</v>
      </c>
      <c r="B52" s="72" t="s">
        <v>64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24"/>
      <c r="S52" s="25">
        <f ca="1">IF(COUNTIFS(R53:R57,"&gt;0") &gt; 3, FLOOR((SUM(R53:R57)-MIN(R53,R54,R55,R56,R57))/4,0.0001), )</f>
        <v>0</v>
      </c>
      <c r="T52" s="26" t="str">
        <f ca="1">IF(S52=0,"",RANK(S52,$S$4:$S$59,))</f>
        <v/>
      </c>
    </row>
    <row r="53" spans="1:37" ht="13.2" x14ac:dyDescent="0.25">
      <c r="A53" s="17"/>
      <c r="B53" s="28">
        <v>1</v>
      </c>
      <c r="C53" s="29" t="s">
        <v>65</v>
      </c>
      <c r="D53" s="44" t="s">
        <v>18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 t="s">
        <v>33</v>
      </c>
      <c r="R53" s="33">
        <f ca="1">IFERROR(__xludf.DUMMYFUNCTION("IF(REGEXMATCH(Q53,""^\d,\d\d$""),VALUE(Q53),0)"),0)</f>
        <v>0</v>
      </c>
      <c r="S53" s="21"/>
      <c r="T53" s="22"/>
    </row>
    <row r="54" spans="1:37" ht="13.2" x14ac:dyDescent="0.25">
      <c r="A54" s="17"/>
      <c r="B54" s="28">
        <v>2</v>
      </c>
      <c r="C54" s="29" t="s">
        <v>66</v>
      </c>
      <c r="D54" s="44" t="s">
        <v>32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2" t="s">
        <v>16</v>
      </c>
      <c r="R54" s="33">
        <f ca="1">IFERROR(__xludf.DUMMYFUNCTION("IF(REGEXMATCH(Q54,""^\d,\d\d$""),VALUE(Q54),0)"),1.55)</f>
        <v>1.55</v>
      </c>
      <c r="S54" s="21"/>
      <c r="T54" s="22"/>
    </row>
    <row r="55" spans="1:37" ht="13.2" x14ac:dyDescent="0.25">
      <c r="A55" s="17"/>
      <c r="B55" s="28">
        <v>3</v>
      </c>
      <c r="C55" s="29" t="s">
        <v>67</v>
      </c>
      <c r="D55" s="44" t="s">
        <v>32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2" t="s">
        <v>27</v>
      </c>
      <c r="R55" s="33">
        <f ca="1">IFERROR(__xludf.DUMMYFUNCTION("IF(REGEXMATCH(Q55,""^\d,\d\d$""),VALUE(Q55),0)"),1.6)</f>
        <v>1.6</v>
      </c>
      <c r="S55" s="21"/>
      <c r="T55" s="22"/>
    </row>
    <row r="56" spans="1:37" ht="13.2" x14ac:dyDescent="0.25">
      <c r="A56" s="17"/>
      <c r="B56" s="28">
        <v>4</v>
      </c>
      <c r="C56" s="29" t="s">
        <v>68</v>
      </c>
      <c r="D56" s="44" t="s">
        <v>15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 t="s">
        <v>69</v>
      </c>
      <c r="R56" s="33">
        <f ca="1">IFERROR(__xludf.DUMMYFUNCTION("IF(REGEXMATCH(Q56,""^\d,\d\d$""),VALUE(Q56),0)"),1.35)</f>
        <v>1.35</v>
      </c>
      <c r="S56" s="21"/>
      <c r="T56" s="22"/>
    </row>
    <row r="57" spans="1:37" ht="13.2" x14ac:dyDescent="0.25">
      <c r="A57" s="17"/>
      <c r="B57" s="28">
        <v>5</v>
      </c>
      <c r="C57" s="29"/>
      <c r="D57" s="44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33">
        <f ca="1">IFERROR(__xludf.DUMMYFUNCTION("IF(REGEXMATCH(Q57,""^\d,\d\d$""),VALUE(Q57),0)"),0)</f>
        <v>0</v>
      </c>
      <c r="S57" s="21"/>
      <c r="T57" s="22"/>
    </row>
    <row r="58" spans="1:37" ht="13.2" x14ac:dyDescent="0.25">
      <c r="A58" s="34"/>
      <c r="B58" s="35" t="s">
        <v>22</v>
      </c>
      <c r="C58" s="36"/>
      <c r="D58" s="37" t="s">
        <v>70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9"/>
      <c r="R58" s="40"/>
      <c r="S58" s="41"/>
      <c r="T58" s="42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</row>
    <row r="59" spans="1:37" ht="13.2" x14ac:dyDescent="0.25">
      <c r="A59" s="17"/>
      <c r="B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20"/>
      <c r="S59" s="21"/>
      <c r="T59" s="22"/>
    </row>
    <row r="60" spans="1:37" ht="13.2" x14ac:dyDescent="0.25">
      <c r="A60" s="17"/>
      <c r="B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20"/>
      <c r="S60" s="21"/>
      <c r="T60" s="22"/>
    </row>
    <row r="61" spans="1:37" ht="13.2" x14ac:dyDescent="0.25">
      <c r="A61" s="17"/>
      <c r="B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/>
      <c r="R61" s="20"/>
      <c r="S61" s="21"/>
      <c r="T61" s="22"/>
    </row>
    <row r="62" spans="1:37" ht="13.2" x14ac:dyDescent="0.25">
      <c r="A62" s="17"/>
      <c r="B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20"/>
      <c r="S62" s="21"/>
      <c r="T62" s="22"/>
    </row>
    <row r="63" spans="1:37" ht="13.2" x14ac:dyDescent="0.25">
      <c r="A63" s="17"/>
      <c r="B63" s="17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  <c r="R63" s="20"/>
      <c r="S63" s="21"/>
      <c r="T63" s="22"/>
    </row>
    <row r="64" spans="1:37" ht="13.2" x14ac:dyDescent="0.25">
      <c r="A64" s="17"/>
      <c r="B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/>
      <c r="R64" s="20"/>
      <c r="S64" s="21"/>
      <c r="T64" s="22"/>
    </row>
    <row r="65" spans="1:20" ht="13.2" x14ac:dyDescent="0.25">
      <c r="A65" s="17"/>
      <c r="B65" s="17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20"/>
      <c r="S65" s="21"/>
      <c r="T65" s="22"/>
    </row>
    <row r="66" spans="1:20" ht="13.2" x14ac:dyDescent="0.25">
      <c r="A66" s="17"/>
      <c r="B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/>
      <c r="R66" s="20"/>
      <c r="S66" s="21"/>
      <c r="T66" s="22"/>
    </row>
    <row r="67" spans="1:20" ht="13.2" x14ac:dyDescent="0.25">
      <c r="A67" s="17"/>
      <c r="B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20"/>
      <c r="S67" s="21"/>
      <c r="T67" s="22"/>
    </row>
    <row r="68" spans="1:20" ht="13.2" x14ac:dyDescent="0.25">
      <c r="A68" s="17"/>
      <c r="B68" s="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20"/>
      <c r="S68" s="21"/>
      <c r="T68" s="22"/>
    </row>
    <row r="69" spans="1:20" ht="13.2" x14ac:dyDescent="0.25">
      <c r="A69" s="17"/>
      <c r="B69" s="17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20"/>
      <c r="S69" s="21"/>
      <c r="T69" s="22"/>
    </row>
    <row r="70" spans="1:20" ht="13.2" x14ac:dyDescent="0.25">
      <c r="A70" s="17"/>
      <c r="B70" s="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20"/>
      <c r="S70" s="21"/>
      <c r="T70" s="22"/>
    </row>
    <row r="71" spans="1:20" ht="13.2" x14ac:dyDescent="0.25">
      <c r="A71" s="17"/>
      <c r="B71" s="17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20"/>
      <c r="S71" s="21"/>
      <c r="T71" s="22"/>
    </row>
    <row r="72" spans="1:20" ht="13.2" x14ac:dyDescent="0.25">
      <c r="A72" s="17"/>
      <c r="B72" s="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9"/>
      <c r="R72" s="20"/>
      <c r="S72" s="21"/>
      <c r="T72" s="22"/>
    </row>
    <row r="73" spans="1:20" ht="13.2" x14ac:dyDescent="0.25">
      <c r="A73" s="17"/>
      <c r="B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20"/>
      <c r="S73" s="21"/>
      <c r="T73" s="22"/>
    </row>
    <row r="74" spans="1:20" ht="13.2" x14ac:dyDescent="0.25">
      <c r="A74" s="17"/>
      <c r="B74" s="1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9"/>
      <c r="R74" s="20"/>
      <c r="S74" s="21"/>
      <c r="T74" s="22"/>
    </row>
    <row r="75" spans="1:20" ht="13.2" x14ac:dyDescent="0.25">
      <c r="A75" s="17"/>
      <c r="B75" s="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20"/>
      <c r="S75" s="21"/>
      <c r="T75" s="22"/>
    </row>
    <row r="76" spans="1:20" ht="13.2" x14ac:dyDescent="0.25">
      <c r="A76" s="17"/>
      <c r="B76" s="17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9"/>
      <c r="R76" s="20"/>
      <c r="S76" s="21"/>
      <c r="T76" s="22"/>
    </row>
    <row r="77" spans="1:20" ht="13.2" x14ac:dyDescent="0.25">
      <c r="A77" s="17"/>
      <c r="B77" s="17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9"/>
      <c r="R77" s="20"/>
      <c r="S77" s="21"/>
      <c r="T77" s="22"/>
    </row>
    <row r="78" spans="1:20" ht="13.2" x14ac:dyDescent="0.25">
      <c r="A78" s="17"/>
      <c r="B78" s="17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9"/>
      <c r="R78" s="20"/>
      <c r="S78" s="21"/>
      <c r="T78" s="22"/>
    </row>
    <row r="79" spans="1:20" ht="13.2" x14ac:dyDescent="0.25">
      <c r="A79" s="17"/>
      <c r="B79" s="17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20"/>
      <c r="S79" s="21"/>
      <c r="T79" s="22"/>
    </row>
    <row r="80" spans="1:20" ht="13.2" x14ac:dyDescent="0.25">
      <c r="A80" s="17"/>
      <c r="B80" s="1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20"/>
      <c r="S80" s="21"/>
      <c r="T80" s="22"/>
    </row>
    <row r="81" spans="1:20" ht="13.2" x14ac:dyDescent="0.25">
      <c r="A81" s="17"/>
      <c r="B81" s="17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  <c r="R81" s="20"/>
      <c r="S81" s="21"/>
      <c r="T81" s="22"/>
    </row>
    <row r="82" spans="1:20" ht="13.2" x14ac:dyDescent="0.25">
      <c r="A82" s="17"/>
      <c r="B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  <c r="R82" s="20"/>
      <c r="S82" s="21"/>
      <c r="T82" s="22"/>
    </row>
    <row r="83" spans="1:20" ht="13.2" x14ac:dyDescent="0.25">
      <c r="A83" s="17"/>
      <c r="B83" s="1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20"/>
      <c r="S83" s="21"/>
      <c r="T83" s="22"/>
    </row>
    <row r="84" spans="1:20" ht="13.2" x14ac:dyDescent="0.25">
      <c r="A84" s="17"/>
      <c r="B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9"/>
      <c r="R84" s="20"/>
      <c r="S84" s="21"/>
      <c r="T84" s="22"/>
    </row>
    <row r="85" spans="1:20" ht="13.2" x14ac:dyDescent="0.25">
      <c r="A85" s="17"/>
      <c r="B85" s="1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9"/>
      <c r="R85" s="20"/>
      <c r="S85" s="21"/>
      <c r="T85" s="22"/>
    </row>
    <row r="86" spans="1:20" ht="13.2" x14ac:dyDescent="0.25">
      <c r="A86" s="17"/>
      <c r="B86" s="17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9"/>
      <c r="R86" s="20"/>
      <c r="S86" s="21"/>
      <c r="T86" s="22"/>
    </row>
    <row r="87" spans="1:20" ht="13.2" x14ac:dyDescent="0.25">
      <c r="A87" s="17"/>
      <c r="B87" s="17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  <c r="R87" s="20"/>
      <c r="S87" s="21"/>
      <c r="T87" s="22"/>
    </row>
    <row r="88" spans="1:20" ht="13.2" x14ac:dyDescent="0.25">
      <c r="A88" s="17"/>
      <c r="B88" s="17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9"/>
      <c r="R88" s="20"/>
      <c r="S88" s="21"/>
      <c r="T88" s="22"/>
    </row>
    <row r="89" spans="1:20" ht="13.2" x14ac:dyDescent="0.25">
      <c r="A89" s="17"/>
      <c r="B89" s="1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9"/>
      <c r="R89" s="20"/>
      <c r="S89" s="21"/>
      <c r="T89" s="22"/>
    </row>
    <row r="90" spans="1:20" ht="13.2" x14ac:dyDescent="0.25">
      <c r="A90" s="17"/>
      <c r="B90" s="1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9"/>
      <c r="R90" s="20"/>
      <c r="S90" s="21"/>
      <c r="T90" s="22"/>
    </row>
    <row r="91" spans="1:20" ht="13.2" x14ac:dyDescent="0.25">
      <c r="A91" s="17"/>
      <c r="B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20"/>
      <c r="S91" s="21"/>
      <c r="T91" s="22"/>
    </row>
    <row r="92" spans="1:20" ht="13.2" x14ac:dyDescent="0.25">
      <c r="A92" s="17"/>
      <c r="B92" s="17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9"/>
      <c r="R92" s="20"/>
      <c r="S92" s="21"/>
      <c r="T92" s="22"/>
    </row>
    <row r="93" spans="1:20" ht="13.2" x14ac:dyDescent="0.25">
      <c r="A93" s="17"/>
      <c r="B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20"/>
      <c r="S93" s="21"/>
      <c r="T93" s="22"/>
    </row>
    <row r="94" spans="1:20" ht="13.2" x14ac:dyDescent="0.25">
      <c r="A94" s="17"/>
      <c r="B94" s="1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9"/>
      <c r="R94" s="20"/>
      <c r="S94" s="21"/>
      <c r="T94" s="22"/>
    </row>
    <row r="95" spans="1:20" ht="13.2" x14ac:dyDescent="0.25">
      <c r="A95" s="17"/>
      <c r="B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9"/>
      <c r="R95" s="20"/>
      <c r="S95" s="21"/>
      <c r="T95" s="22"/>
    </row>
    <row r="96" spans="1:20" ht="13.2" x14ac:dyDescent="0.25">
      <c r="A96" s="17"/>
      <c r="B96" s="17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9"/>
      <c r="R96" s="20"/>
      <c r="S96" s="21"/>
      <c r="T96" s="22"/>
    </row>
    <row r="97" spans="1:20" ht="13.2" x14ac:dyDescent="0.25">
      <c r="A97" s="17"/>
      <c r="B97" s="1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9"/>
      <c r="R97" s="20"/>
      <c r="S97" s="21"/>
      <c r="T97" s="22"/>
    </row>
    <row r="98" spans="1:20" ht="13.2" x14ac:dyDescent="0.25">
      <c r="A98" s="17"/>
      <c r="B98" s="17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20"/>
      <c r="S98" s="21"/>
      <c r="T98" s="22"/>
    </row>
    <row r="99" spans="1:20" ht="13.2" x14ac:dyDescent="0.25">
      <c r="A99" s="17"/>
      <c r="B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20"/>
      <c r="S99" s="21"/>
      <c r="T99" s="22"/>
    </row>
    <row r="100" spans="1:20" ht="13.2" x14ac:dyDescent="0.25">
      <c r="A100" s="17"/>
      <c r="B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9"/>
      <c r="R100" s="20"/>
      <c r="S100" s="21"/>
      <c r="T100" s="22"/>
    </row>
    <row r="101" spans="1:20" ht="13.2" x14ac:dyDescent="0.25">
      <c r="A101" s="17"/>
      <c r="B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9"/>
      <c r="R101" s="20"/>
      <c r="S101" s="21"/>
      <c r="T101" s="22"/>
    </row>
    <row r="102" spans="1:20" ht="13.2" x14ac:dyDescent="0.25">
      <c r="A102" s="17"/>
      <c r="B102" s="17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9"/>
      <c r="R102" s="20"/>
      <c r="S102" s="21"/>
      <c r="T102" s="22"/>
    </row>
    <row r="103" spans="1:20" ht="13.2" x14ac:dyDescent="0.25">
      <c r="A103" s="17"/>
      <c r="B103" s="17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9"/>
      <c r="R103" s="20"/>
      <c r="S103" s="21"/>
      <c r="T103" s="22"/>
    </row>
    <row r="104" spans="1:20" ht="13.2" x14ac:dyDescent="0.25">
      <c r="A104" s="17"/>
      <c r="B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9"/>
      <c r="R104" s="20"/>
      <c r="S104" s="21"/>
      <c r="T104" s="22"/>
    </row>
    <row r="105" spans="1:20" ht="13.2" x14ac:dyDescent="0.25">
      <c r="A105" s="17"/>
      <c r="B105" s="17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20"/>
      <c r="S105" s="21"/>
      <c r="T105" s="22"/>
    </row>
    <row r="106" spans="1:20" ht="13.2" x14ac:dyDescent="0.25">
      <c r="A106" s="17"/>
      <c r="B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9"/>
      <c r="R106" s="20"/>
      <c r="S106" s="21"/>
      <c r="T106" s="22"/>
    </row>
    <row r="107" spans="1:20" ht="13.2" x14ac:dyDescent="0.25">
      <c r="A107" s="17"/>
      <c r="B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20"/>
      <c r="S107" s="21"/>
      <c r="T107" s="22"/>
    </row>
    <row r="108" spans="1:20" ht="13.2" x14ac:dyDescent="0.25">
      <c r="A108" s="17"/>
      <c r="B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9"/>
      <c r="R108" s="20"/>
      <c r="S108" s="21"/>
      <c r="T108" s="22"/>
    </row>
    <row r="109" spans="1:20" ht="13.2" x14ac:dyDescent="0.25">
      <c r="A109" s="17"/>
      <c r="B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9"/>
      <c r="R109" s="20"/>
      <c r="S109" s="21"/>
      <c r="T109" s="22"/>
    </row>
    <row r="110" spans="1:20" ht="13.2" x14ac:dyDescent="0.25">
      <c r="A110" s="17"/>
      <c r="B110" s="17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9"/>
      <c r="R110" s="20"/>
      <c r="S110" s="21"/>
      <c r="T110" s="22"/>
    </row>
    <row r="111" spans="1:20" ht="13.2" x14ac:dyDescent="0.25">
      <c r="A111" s="17"/>
      <c r="B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  <c r="R111" s="20"/>
      <c r="S111" s="21"/>
      <c r="T111" s="22"/>
    </row>
    <row r="112" spans="1:20" ht="13.2" x14ac:dyDescent="0.25">
      <c r="A112" s="17"/>
      <c r="B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9"/>
      <c r="R112" s="20"/>
      <c r="S112" s="21"/>
      <c r="T112" s="22"/>
    </row>
    <row r="113" spans="1:20" ht="13.2" x14ac:dyDescent="0.25">
      <c r="A113" s="17"/>
      <c r="B113" s="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9"/>
      <c r="R113" s="20"/>
      <c r="S113" s="21"/>
      <c r="T113" s="22"/>
    </row>
    <row r="114" spans="1:20" ht="13.2" x14ac:dyDescent="0.25">
      <c r="A114" s="17"/>
      <c r="B114" s="17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20"/>
      <c r="S114" s="21"/>
      <c r="T114" s="22"/>
    </row>
    <row r="115" spans="1:20" ht="13.2" x14ac:dyDescent="0.25">
      <c r="A115" s="17"/>
      <c r="B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20"/>
      <c r="S115" s="21"/>
      <c r="T115" s="22"/>
    </row>
    <row r="116" spans="1:20" ht="13.2" x14ac:dyDescent="0.25">
      <c r="A116" s="17"/>
      <c r="B116" s="17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20"/>
      <c r="S116" s="21"/>
      <c r="T116" s="22"/>
    </row>
    <row r="117" spans="1:20" ht="13.2" x14ac:dyDescent="0.25">
      <c r="A117" s="17"/>
      <c r="B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  <c r="R117" s="20"/>
      <c r="S117" s="21"/>
      <c r="T117" s="22"/>
    </row>
    <row r="118" spans="1:20" ht="13.2" x14ac:dyDescent="0.25">
      <c r="A118" s="17"/>
      <c r="B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20"/>
      <c r="S118" s="21"/>
      <c r="T118" s="22"/>
    </row>
    <row r="119" spans="1:20" ht="13.2" x14ac:dyDescent="0.25">
      <c r="A119" s="17"/>
      <c r="B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20"/>
      <c r="S119" s="21"/>
      <c r="T119" s="22"/>
    </row>
    <row r="120" spans="1:20" ht="13.2" x14ac:dyDescent="0.25">
      <c r="A120" s="17"/>
      <c r="B120" s="1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20"/>
      <c r="S120" s="21"/>
      <c r="T120" s="22"/>
    </row>
    <row r="121" spans="1:20" ht="13.2" x14ac:dyDescent="0.25">
      <c r="A121" s="17"/>
      <c r="B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20"/>
      <c r="S121" s="21"/>
      <c r="T121" s="22"/>
    </row>
    <row r="122" spans="1:20" ht="13.2" x14ac:dyDescent="0.25">
      <c r="A122" s="17"/>
      <c r="B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9"/>
      <c r="R122" s="20"/>
      <c r="S122" s="21"/>
      <c r="T122" s="22"/>
    </row>
    <row r="123" spans="1:20" ht="13.2" x14ac:dyDescent="0.25">
      <c r="A123" s="17"/>
      <c r="B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20"/>
      <c r="S123" s="21"/>
      <c r="T123" s="22"/>
    </row>
    <row r="124" spans="1:20" ht="13.2" x14ac:dyDescent="0.25">
      <c r="A124" s="17"/>
      <c r="B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9"/>
      <c r="R124" s="20"/>
      <c r="S124" s="21"/>
      <c r="T124" s="22"/>
    </row>
    <row r="125" spans="1:20" ht="13.2" x14ac:dyDescent="0.25">
      <c r="A125" s="17"/>
      <c r="B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9"/>
      <c r="R125" s="20"/>
      <c r="S125" s="21"/>
      <c r="T125" s="22"/>
    </row>
    <row r="126" spans="1:20" ht="13.2" x14ac:dyDescent="0.25">
      <c r="A126" s="17"/>
      <c r="B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20"/>
      <c r="S126" s="21"/>
      <c r="T126" s="22"/>
    </row>
    <row r="127" spans="1:20" ht="13.2" x14ac:dyDescent="0.25">
      <c r="A127" s="17"/>
      <c r="B127" s="1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9"/>
      <c r="R127" s="20"/>
      <c r="S127" s="21"/>
      <c r="T127" s="22"/>
    </row>
    <row r="128" spans="1:20" ht="13.2" x14ac:dyDescent="0.25">
      <c r="A128" s="17"/>
      <c r="B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9"/>
      <c r="R128" s="20"/>
      <c r="S128" s="21"/>
      <c r="T128" s="22"/>
    </row>
    <row r="129" spans="1:20" ht="13.2" x14ac:dyDescent="0.25">
      <c r="A129" s="17"/>
      <c r="B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9"/>
      <c r="R129" s="20"/>
      <c r="S129" s="21"/>
      <c r="T129" s="22"/>
    </row>
    <row r="130" spans="1:20" ht="13.2" x14ac:dyDescent="0.25">
      <c r="A130" s="17"/>
      <c r="B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9"/>
      <c r="R130" s="20"/>
      <c r="S130" s="21"/>
      <c r="T130" s="22"/>
    </row>
    <row r="131" spans="1:20" ht="13.2" x14ac:dyDescent="0.25">
      <c r="A131" s="17"/>
      <c r="B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20"/>
      <c r="S131" s="21"/>
      <c r="T131" s="22"/>
    </row>
    <row r="132" spans="1:20" ht="13.2" x14ac:dyDescent="0.25">
      <c r="A132" s="17"/>
      <c r="B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9"/>
      <c r="R132" s="20"/>
      <c r="S132" s="21"/>
      <c r="T132" s="22"/>
    </row>
    <row r="133" spans="1:20" ht="13.2" x14ac:dyDescent="0.25">
      <c r="A133" s="17"/>
      <c r="B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9"/>
      <c r="R133" s="20"/>
      <c r="S133" s="21"/>
      <c r="T133" s="22"/>
    </row>
    <row r="134" spans="1:20" ht="13.2" x14ac:dyDescent="0.25">
      <c r="A134" s="17"/>
      <c r="B134" s="17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9"/>
      <c r="R134" s="20"/>
      <c r="S134" s="21"/>
      <c r="T134" s="22"/>
    </row>
    <row r="135" spans="1:20" ht="13.2" x14ac:dyDescent="0.25">
      <c r="A135" s="17"/>
      <c r="B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  <c r="R135" s="20"/>
      <c r="S135" s="21"/>
      <c r="T135" s="22"/>
    </row>
    <row r="136" spans="1:20" ht="13.2" x14ac:dyDescent="0.25">
      <c r="A136" s="17"/>
      <c r="B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9"/>
      <c r="R136" s="20"/>
      <c r="S136" s="21"/>
      <c r="T136" s="22"/>
    </row>
    <row r="137" spans="1:20" ht="13.2" x14ac:dyDescent="0.25">
      <c r="A137" s="17"/>
      <c r="B137" s="17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9"/>
      <c r="R137" s="20"/>
      <c r="S137" s="21"/>
      <c r="T137" s="22"/>
    </row>
    <row r="138" spans="1:20" ht="13.2" x14ac:dyDescent="0.25">
      <c r="A138" s="17"/>
      <c r="B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9"/>
      <c r="R138" s="20"/>
      <c r="S138" s="21"/>
      <c r="T138" s="22"/>
    </row>
    <row r="139" spans="1:20" ht="13.2" x14ac:dyDescent="0.25">
      <c r="A139" s="17"/>
      <c r="B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20"/>
      <c r="S139" s="21"/>
      <c r="T139" s="22"/>
    </row>
    <row r="140" spans="1:20" ht="13.2" x14ac:dyDescent="0.25">
      <c r="A140" s="17"/>
      <c r="B140" s="17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9"/>
      <c r="R140" s="20"/>
      <c r="S140" s="21"/>
      <c r="T140" s="22"/>
    </row>
    <row r="141" spans="1:20" ht="13.2" x14ac:dyDescent="0.25">
      <c r="A141" s="17"/>
      <c r="B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  <c r="R141" s="20"/>
      <c r="S141" s="21"/>
      <c r="T141" s="22"/>
    </row>
    <row r="142" spans="1:20" ht="13.2" x14ac:dyDescent="0.25">
      <c r="A142" s="17"/>
      <c r="B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9"/>
      <c r="R142" s="20"/>
      <c r="S142" s="21"/>
      <c r="T142" s="22"/>
    </row>
    <row r="143" spans="1:20" ht="13.2" x14ac:dyDescent="0.25">
      <c r="A143" s="17"/>
      <c r="B143" s="1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9"/>
      <c r="R143" s="20"/>
      <c r="S143" s="21"/>
      <c r="T143" s="22"/>
    </row>
    <row r="144" spans="1:20" ht="13.2" x14ac:dyDescent="0.25">
      <c r="A144" s="17"/>
      <c r="B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9"/>
      <c r="R144" s="20"/>
      <c r="S144" s="21"/>
      <c r="T144" s="22"/>
    </row>
    <row r="145" spans="1:20" ht="13.2" x14ac:dyDescent="0.25">
      <c r="A145" s="17"/>
      <c r="B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9"/>
      <c r="R145" s="20"/>
      <c r="S145" s="21"/>
      <c r="T145" s="22"/>
    </row>
    <row r="146" spans="1:20" ht="13.2" x14ac:dyDescent="0.25">
      <c r="A146" s="17"/>
      <c r="B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9"/>
      <c r="R146" s="20"/>
      <c r="S146" s="21"/>
      <c r="T146" s="22"/>
    </row>
    <row r="147" spans="1:20" ht="13.2" x14ac:dyDescent="0.25">
      <c r="A147" s="17"/>
      <c r="B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20"/>
      <c r="S147" s="21"/>
      <c r="T147" s="22"/>
    </row>
    <row r="148" spans="1:20" ht="13.2" x14ac:dyDescent="0.25">
      <c r="A148" s="17"/>
      <c r="B148" s="17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9"/>
      <c r="R148" s="20"/>
      <c r="S148" s="21"/>
      <c r="T148" s="22"/>
    </row>
    <row r="149" spans="1:20" ht="13.2" x14ac:dyDescent="0.25">
      <c r="A149" s="17"/>
      <c r="B149" s="17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9"/>
      <c r="R149" s="20"/>
      <c r="S149" s="21"/>
      <c r="T149" s="22"/>
    </row>
    <row r="150" spans="1:20" ht="13.2" x14ac:dyDescent="0.25">
      <c r="A150" s="17"/>
      <c r="B150" s="17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9"/>
      <c r="R150" s="20"/>
      <c r="S150" s="21"/>
      <c r="T150" s="22"/>
    </row>
    <row r="151" spans="1:20" ht="13.2" x14ac:dyDescent="0.25">
      <c r="A151" s="17"/>
      <c r="B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9"/>
      <c r="R151" s="20"/>
      <c r="S151" s="21"/>
      <c r="T151" s="22"/>
    </row>
    <row r="152" spans="1:20" ht="13.2" x14ac:dyDescent="0.25">
      <c r="A152" s="17"/>
      <c r="B152" s="17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9"/>
      <c r="R152" s="20"/>
      <c r="S152" s="21"/>
      <c r="T152" s="22"/>
    </row>
    <row r="153" spans="1:20" ht="13.2" x14ac:dyDescent="0.25">
      <c r="A153" s="17"/>
      <c r="B153" s="17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9"/>
      <c r="R153" s="20"/>
      <c r="S153" s="21"/>
      <c r="T153" s="22"/>
    </row>
    <row r="154" spans="1:20" ht="13.2" x14ac:dyDescent="0.25">
      <c r="A154" s="17"/>
      <c r="B154" s="17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9"/>
      <c r="R154" s="20"/>
      <c r="S154" s="21"/>
      <c r="T154" s="22"/>
    </row>
    <row r="155" spans="1:20" ht="13.2" x14ac:dyDescent="0.25">
      <c r="A155" s="17"/>
      <c r="B155" s="17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20"/>
      <c r="S155" s="21"/>
      <c r="T155" s="22"/>
    </row>
    <row r="156" spans="1:20" ht="13.2" x14ac:dyDescent="0.25">
      <c r="A156" s="17"/>
      <c r="B156" s="17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9"/>
      <c r="R156" s="20"/>
      <c r="S156" s="21"/>
      <c r="T156" s="22"/>
    </row>
    <row r="157" spans="1:20" ht="13.2" x14ac:dyDescent="0.25">
      <c r="A157" s="17"/>
      <c r="B157" s="17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9"/>
      <c r="R157" s="20"/>
      <c r="S157" s="21"/>
      <c r="T157" s="22"/>
    </row>
    <row r="158" spans="1:20" ht="13.2" x14ac:dyDescent="0.25">
      <c r="A158" s="17"/>
      <c r="B158" s="17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9"/>
      <c r="R158" s="20"/>
      <c r="S158" s="21"/>
      <c r="T158" s="22"/>
    </row>
    <row r="159" spans="1:20" ht="13.2" x14ac:dyDescent="0.25">
      <c r="A159" s="17"/>
      <c r="B159" s="17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9"/>
      <c r="R159" s="20"/>
      <c r="S159" s="21"/>
      <c r="T159" s="22"/>
    </row>
    <row r="160" spans="1:20" ht="13.2" x14ac:dyDescent="0.25">
      <c r="A160" s="17"/>
      <c r="B160" s="17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9"/>
      <c r="R160" s="20"/>
      <c r="S160" s="21"/>
      <c r="T160" s="22"/>
    </row>
    <row r="161" spans="1:20" ht="13.2" x14ac:dyDescent="0.25">
      <c r="A161" s="17"/>
      <c r="B161" s="17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9"/>
      <c r="R161" s="20"/>
      <c r="S161" s="21"/>
      <c r="T161" s="22"/>
    </row>
    <row r="162" spans="1:20" ht="13.2" x14ac:dyDescent="0.25">
      <c r="A162" s="17"/>
      <c r="B162" s="17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20"/>
      <c r="S162" s="21"/>
      <c r="T162" s="22"/>
    </row>
    <row r="163" spans="1:20" ht="13.2" x14ac:dyDescent="0.25">
      <c r="A163" s="17"/>
      <c r="B163" s="17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20"/>
      <c r="S163" s="21"/>
      <c r="T163" s="22"/>
    </row>
    <row r="164" spans="1:20" ht="13.2" x14ac:dyDescent="0.25">
      <c r="A164" s="17"/>
      <c r="B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9"/>
      <c r="R164" s="20"/>
      <c r="S164" s="21"/>
      <c r="T164" s="22"/>
    </row>
    <row r="165" spans="1:20" ht="13.2" x14ac:dyDescent="0.25">
      <c r="A165" s="17"/>
      <c r="B165" s="17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9"/>
      <c r="R165" s="20"/>
      <c r="S165" s="21"/>
      <c r="T165" s="22"/>
    </row>
    <row r="166" spans="1:20" ht="13.2" x14ac:dyDescent="0.25">
      <c r="A166" s="17"/>
      <c r="B166" s="17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9"/>
      <c r="R166" s="20"/>
      <c r="S166" s="21"/>
      <c r="T166" s="22"/>
    </row>
    <row r="167" spans="1:20" ht="13.2" x14ac:dyDescent="0.25">
      <c r="A167" s="17"/>
      <c r="B167" s="17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9"/>
      <c r="R167" s="20"/>
      <c r="S167" s="21"/>
      <c r="T167" s="22"/>
    </row>
    <row r="168" spans="1:20" ht="13.2" x14ac:dyDescent="0.25">
      <c r="A168" s="17"/>
      <c r="B168" s="17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9"/>
      <c r="R168" s="20"/>
      <c r="S168" s="21"/>
      <c r="T168" s="22"/>
    </row>
    <row r="169" spans="1:20" ht="13.2" x14ac:dyDescent="0.25">
      <c r="A169" s="17"/>
      <c r="B169" s="17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9"/>
      <c r="R169" s="20"/>
      <c r="S169" s="21"/>
      <c r="T169" s="22"/>
    </row>
    <row r="170" spans="1:20" ht="13.2" x14ac:dyDescent="0.25">
      <c r="A170" s="17"/>
      <c r="B170" s="1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9"/>
      <c r="R170" s="20"/>
      <c r="S170" s="21"/>
      <c r="T170" s="22"/>
    </row>
    <row r="171" spans="1:20" ht="13.2" x14ac:dyDescent="0.25">
      <c r="A171" s="17"/>
      <c r="B171" s="17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20"/>
      <c r="S171" s="21"/>
      <c r="T171" s="22"/>
    </row>
    <row r="172" spans="1:20" ht="13.2" x14ac:dyDescent="0.25">
      <c r="A172" s="17"/>
      <c r="B172" s="17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9"/>
      <c r="R172" s="20"/>
      <c r="S172" s="21"/>
      <c r="T172" s="22"/>
    </row>
    <row r="173" spans="1:20" ht="13.2" x14ac:dyDescent="0.25">
      <c r="A173" s="17"/>
      <c r="B173" s="17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9"/>
      <c r="R173" s="20"/>
      <c r="S173" s="21"/>
      <c r="T173" s="22"/>
    </row>
    <row r="174" spans="1:20" ht="13.2" x14ac:dyDescent="0.25">
      <c r="A174" s="17"/>
      <c r="B174" s="17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9"/>
      <c r="R174" s="20"/>
      <c r="S174" s="21"/>
      <c r="T174" s="22"/>
    </row>
    <row r="175" spans="1:20" ht="13.2" x14ac:dyDescent="0.25">
      <c r="A175" s="17"/>
      <c r="B175" s="17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9"/>
      <c r="R175" s="20"/>
      <c r="S175" s="21"/>
      <c r="T175" s="22"/>
    </row>
    <row r="176" spans="1:20" ht="13.2" x14ac:dyDescent="0.25">
      <c r="A176" s="17"/>
      <c r="B176" s="17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9"/>
      <c r="R176" s="20"/>
      <c r="S176" s="21"/>
      <c r="T176" s="22"/>
    </row>
    <row r="177" spans="1:20" ht="13.2" x14ac:dyDescent="0.25">
      <c r="A177" s="17"/>
      <c r="B177" s="17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9"/>
      <c r="R177" s="20"/>
      <c r="S177" s="21"/>
      <c r="T177" s="22"/>
    </row>
    <row r="178" spans="1:20" ht="13.2" x14ac:dyDescent="0.25">
      <c r="A178" s="17"/>
      <c r="B178" s="17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9"/>
      <c r="R178" s="20"/>
      <c r="S178" s="21"/>
      <c r="T178" s="22"/>
    </row>
    <row r="179" spans="1:20" ht="13.2" x14ac:dyDescent="0.25">
      <c r="A179" s="17"/>
      <c r="B179" s="17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20"/>
      <c r="S179" s="21"/>
      <c r="T179" s="22"/>
    </row>
    <row r="180" spans="1:20" ht="13.2" x14ac:dyDescent="0.25">
      <c r="A180" s="17"/>
      <c r="B180" s="17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9"/>
      <c r="R180" s="20"/>
      <c r="S180" s="21"/>
      <c r="T180" s="22"/>
    </row>
    <row r="181" spans="1:20" ht="13.2" x14ac:dyDescent="0.25">
      <c r="A181" s="17"/>
      <c r="B181" s="17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20"/>
      <c r="S181" s="21"/>
      <c r="T181" s="22"/>
    </row>
    <row r="182" spans="1:20" ht="13.2" x14ac:dyDescent="0.25">
      <c r="A182" s="17"/>
      <c r="B182" s="17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9"/>
      <c r="R182" s="20"/>
      <c r="S182" s="21"/>
      <c r="T182" s="22"/>
    </row>
    <row r="183" spans="1:20" ht="13.2" x14ac:dyDescent="0.25">
      <c r="A183" s="17"/>
      <c r="B183" s="17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9"/>
      <c r="R183" s="20"/>
      <c r="S183" s="21"/>
      <c r="T183" s="22"/>
    </row>
    <row r="184" spans="1:20" ht="13.2" x14ac:dyDescent="0.25">
      <c r="A184" s="17"/>
      <c r="B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9"/>
      <c r="R184" s="20"/>
      <c r="S184" s="21"/>
      <c r="T184" s="22"/>
    </row>
    <row r="185" spans="1:20" ht="13.2" x14ac:dyDescent="0.25">
      <c r="A185" s="17"/>
      <c r="B185" s="17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9"/>
      <c r="R185" s="20"/>
      <c r="S185" s="21"/>
      <c r="T185" s="22"/>
    </row>
    <row r="186" spans="1:20" ht="13.2" x14ac:dyDescent="0.25">
      <c r="A186" s="17"/>
      <c r="B186" s="17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9"/>
      <c r="R186" s="20"/>
      <c r="S186" s="21"/>
      <c r="T186" s="22"/>
    </row>
    <row r="187" spans="1:20" ht="13.2" x14ac:dyDescent="0.25">
      <c r="A187" s="17"/>
      <c r="B187" s="17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9"/>
      <c r="R187" s="20"/>
      <c r="S187" s="21"/>
      <c r="T187" s="22"/>
    </row>
    <row r="188" spans="1:20" ht="13.2" x14ac:dyDescent="0.25">
      <c r="A188" s="17"/>
      <c r="B188" s="17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9"/>
      <c r="R188" s="20"/>
      <c r="S188" s="21"/>
      <c r="T188" s="22"/>
    </row>
    <row r="189" spans="1:20" ht="13.2" x14ac:dyDescent="0.25">
      <c r="A189" s="17"/>
      <c r="B189" s="17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9"/>
      <c r="R189" s="20"/>
      <c r="S189" s="21"/>
      <c r="T189" s="22"/>
    </row>
    <row r="190" spans="1:20" ht="13.2" x14ac:dyDescent="0.25">
      <c r="A190" s="17"/>
      <c r="B190" s="17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9"/>
      <c r="R190" s="20"/>
      <c r="S190" s="21"/>
      <c r="T190" s="22"/>
    </row>
    <row r="191" spans="1:20" ht="13.2" x14ac:dyDescent="0.25">
      <c r="A191" s="17"/>
      <c r="B191" s="17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9"/>
      <c r="R191" s="20"/>
      <c r="S191" s="21"/>
      <c r="T191" s="22"/>
    </row>
    <row r="192" spans="1:20" ht="13.2" x14ac:dyDescent="0.25">
      <c r="A192" s="17"/>
      <c r="B192" s="17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9"/>
      <c r="R192" s="20"/>
      <c r="S192" s="21"/>
      <c r="T192" s="22"/>
    </row>
    <row r="193" spans="1:20" ht="13.2" x14ac:dyDescent="0.25">
      <c r="A193" s="17"/>
      <c r="B193" s="17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9"/>
      <c r="R193" s="20"/>
      <c r="S193" s="21"/>
      <c r="T193" s="22"/>
    </row>
    <row r="194" spans="1:20" ht="13.2" x14ac:dyDescent="0.25">
      <c r="A194" s="17"/>
      <c r="B194" s="17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9"/>
      <c r="R194" s="20"/>
      <c r="S194" s="21"/>
      <c r="T194" s="22"/>
    </row>
    <row r="195" spans="1:20" ht="13.2" x14ac:dyDescent="0.25">
      <c r="A195" s="17"/>
      <c r="B195" s="17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9"/>
      <c r="R195" s="20"/>
      <c r="S195" s="21"/>
      <c r="T195" s="22"/>
    </row>
    <row r="196" spans="1:20" ht="13.2" x14ac:dyDescent="0.25">
      <c r="A196" s="17"/>
      <c r="B196" s="17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9"/>
      <c r="R196" s="20"/>
      <c r="S196" s="21"/>
      <c r="T196" s="22"/>
    </row>
    <row r="197" spans="1:20" ht="13.2" x14ac:dyDescent="0.25">
      <c r="A197" s="17"/>
      <c r="B197" s="17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9"/>
      <c r="R197" s="20"/>
      <c r="S197" s="21"/>
      <c r="T197" s="22"/>
    </row>
    <row r="198" spans="1:20" ht="13.2" x14ac:dyDescent="0.25">
      <c r="A198" s="17"/>
      <c r="B198" s="17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9"/>
      <c r="R198" s="20"/>
      <c r="S198" s="21"/>
      <c r="T198" s="22"/>
    </row>
    <row r="199" spans="1:20" ht="13.2" x14ac:dyDescent="0.25">
      <c r="A199" s="17"/>
      <c r="B199" s="17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9"/>
      <c r="R199" s="20"/>
      <c r="S199" s="21"/>
      <c r="T199" s="22"/>
    </row>
    <row r="200" spans="1:20" ht="13.2" x14ac:dyDescent="0.25">
      <c r="A200" s="17"/>
      <c r="B200" s="17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9"/>
      <c r="R200" s="20"/>
      <c r="S200" s="21"/>
      <c r="T200" s="22"/>
    </row>
    <row r="201" spans="1:20" ht="13.2" x14ac:dyDescent="0.25">
      <c r="A201" s="17"/>
      <c r="B201" s="17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20"/>
      <c r="S201" s="21"/>
      <c r="T201" s="22"/>
    </row>
    <row r="202" spans="1:20" ht="13.2" x14ac:dyDescent="0.25">
      <c r="A202" s="17"/>
      <c r="B202" s="17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9"/>
      <c r="R202" s="20"/>
      <c r="S202" s="21"/>
      <c r="T202" s="22"/>
    </row>
    <row r="203" spans="1:20" ht="13.2" x14ac:dyDescent="0.25">
      <c r="A203" s="17"/>
      <c r="B203" s="17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20"/>
      <c r="S203" s="21"/>
      <c r="T203" s="22"/>
    </row>
    <row r="204" spans="1:20" ht="13.2" x14ac:dyDescent="0.25">
      <c r="A204" s="17"/>
      <c r="B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20"/>
      <c r="S204" s="21"/>
      <c r="T204" s="22"/>
    </row>
    <row r="205" spans="1:20" ht="13.2" x14ac:dyDescent="0.25">
      <c r="A205" s="17"/>
      <c r="B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20"/>
      <c r="S205" s="21"/>
      <c r="T205" s="22"/>
    </row>
    <row r="206" spans="1:20" ht="13.2" x14ac:dyDescent="0.25">
      <c r="A206" s="17"/>
      <c r="B206" s="17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20"/>
      <c r="S206" s="21"/>
      <c r="T206" s="22"/>
    </row>
    <row r="207" spans="1:20" ht="13.2" x14ac:dyDescent="0.25">
      <c r="A207" s="17"/>
      <c r="B207" s="17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20"/>
      <c r="S207" s="21"/>
      <c r="T207" s="22"/>
    </row>
    <row r="208" spans="1:20" ht="13.2" x14ac:dyDescent="0.25">
      <c r="A208" s="17"/>
      <c r="B208" s="17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20"/>
      <c r="S208" s="21"/>
      <c r="T208" s="22"/>
    </row>
    <row r="209" spans="1:20" ht="13.2" x14ac:dyDescent="0.25">
      <c r="A209" s="17"/>
      <c r="B209" s="17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20"/>
      <c r="S209" s="21"/>
      <c r="T209" s="22"/>
    </row>
    <row r="210" spans="1:20" ht="13.2" x14ac:dyDescent="0.25">
      <c r="A210" s="17"/>
      <c r="B210" s="17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20"/>
      <c r="S210" s="21"/>
      <c r="T210" s="22"/>
    </row>
    <row r="211" spans="1:20" ht="13.2" x14ac:dyDescent="0.25">
      <c r="A211" s="17"/>
      <c r="B211" s="17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20"/>
      <c r="S211" s="21"/>
      <c r="T211" s="22"/>
    </row>
    <row r="212" spans="1:20" ht="13.2" x14ac:dyDescent="0.25">
      <c r="A212" s="17"/>
      <c r="B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20"/>
      <c r="S212" s="21"/>
      <c r="T212" s="22"/>
    </row>
    <row r="213" spans="1:20" ht="13.2" x14ac:dyDescent="0.25">
      <c r="A213" s="17"/>
      <c r="B213" s="17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20"/>
      <c r="S213" s="21"/>
      <c r="T213" s="22"/>
    </row>
    <row r="214" spans="1:20" ht="13.2" x14ac:dyDescent="0.25">
      <c r="A214" s="17"/>
      <c r="B214" s="17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20"/>
      <c r="S214" s="21"/>
      <c r="T214" s="22"/>
    </row>
    <row r="215" spans="1:20" ht="13.2" x14ac:dyDescent="0.25">
      <c r="A215" s="17"/>
      <c r="B215" s="17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20"/>
      <c r="S215" s="21"/>
      <c r="T215" s="22"/>
    </row>
    <row r="216" spans="1:20" ht="13.2" x14ac:dyDescent="0.25">
      <c r="A216" s="17"/>
      <c r="B216" s="17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20"/>
      <c r="S216" s="21"/>
      <c r="T216" s="22"/>
    </row>
    <row r="217" spans="1:20" ht="13.2" x14ac:dyDescent="0.25">
      <c r="A217" s="17"/>
      <c r="B217" s="17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20"/>
      <c r="S217" s="21"/>
      <c r="T217" s="22"/>
    </row>
    <row r="218" spans="1:20" ht="13.2" x14ac:dyDescent="0.25">
      <c r="A218" s="17"/>
      <c r="B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20"/>
      <c r="S218" s="21"/>
      <c r="T218" s="22"/>
    </row>
    <row r="219" spans="1:20" ht="13.2" x14ac:dyDescent="0.25">
      <c r="A219" s="17"/>
      <c r="B219" s="17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20"/>
      <c r="S219" s="21"/>
      <c r="T219" s="22"/>
    </row>
    <row r="220" spans="1:20" ht="13.2" x14ac:dyDescent="0.25">
      <c r="A220" s="17"/>
      <c r="B220" s="17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20"/>
      <c r="S220" s="21"/>
      <c r="T220" s="22"/>
    </row>
    <row r="221" spans="1:20" ht="13.2" x14ac:dyDescent="0.25">
      <c r="A221" s="17"/>
      <c r="B221" s="1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20"/>
      <c r="S221" s="21"/>
      <c r="T221" s="22"/>
    </row>
    <row r="222" spans="1:20" ht="13.2" x14ac:dyDescent="0.25">
      <c r="A222" s="17"/>
      <c r="B222" s="17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20"/>
      <c r="S222" s="21"/>
      <c r="T222" s="22"/>
    </row>
    <row r="223" spans="1:20" ht="13.2" x14ac:dyDescent="0.25">
      <c r="A223" s="17"/>
      <c r="B223" s="17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20"/>
      <c r="S223" s="21"/>
      <c r="T223" s="22"/>
    </row>
    <row r="224" spans="1:20" ht="13.2" x14ac:dyDescent="0.25">
      <c r="A224" s="17"/>
      <c r="B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20"/>
      <c r="S224" s="21"/>
      <c r="T224" s="22"/>
    </row>
    <row r="225" spans="1:20" ht="13.2" x14ac:dyDescent="0.25">
      <c r="A225" s="17"/>
      <c r="B225" s="17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20"/>
      <c r="S225" s="21"/>
      <c r="T225" s="22"/>
    </row>
    <row r="226" spans="1:20" ht="13.2" x14ac:dyDescent="0.25">
      <c r="A226" s="17"/>
      <c r="B226" s="17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20"/>
      <c r="S226" s="21"/>
      <c r="T226" s="22"/>
    </row>
    <row r="227" spans="1:20" ht="13.2" x14ac:dyDescent="0.25">
      <c r="A227" s="17"/>
      <c r="B227" s="1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20"/>
      <c r="S227" s="21"/>
      <c r="T227" s="22"/>
    </row>
    <row r="228" spans="1:20" ht="13.2" x14ac:dyDescent="0.25">
      <c r="A228" s="17"/>
      <c r="B228" s="1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20"/>
      <c r="S228" s="21"/>
      <c r="T228" s="22"/>
    </row>
    <row r="229" spans="1:20" ht="13.2" x14ac:dyDescent="0.25">
      <c r="A229" s="17"/>
      <c r="B229" s="17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20"/>
      <c r="S229" s="21"/>
      <c r="T229" s="22"/>
    </row>
    <row r="230" spans="1:20" ht="13.2" x14ac:dyDescent="0.25">
      <c r="A230" s="17"/>
      <c r="B230" s="1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20"/>
      <c r="S230" s="21"/>
      <c r="T230" s="22"/>
    </row>
    <row r="231" spans="1:20" ht="13.2" x14ac:dyDescent="0.25">
      <c r="A231" s="17"/>
      <c r="B231" s="17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20"/>
      <c r="S231" s="21"/>
      <c r="T231" s="22"/>
    </row>
    <row r="232" spans="1:20" ht="13.2" x14ac:dyDescent="0.25">
      <c r="A232" s="17"/>
      <c r="B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20"/>
      <c r="S232" s="21"/>
      <c r="T232" s="22"/>
    </row>
    <row r="233" spans="1:20" ht="13.2" x14ac:dyDescent="0.25">
      <c r="A233" s="17"/>
      <c r="B233" s="17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20"/>
      <c r="S233" s="21"/>
      <c r="T233" s="22"/>
    </row>
    <row r="234" spans="1:20" ht="13.2" x14ac:dyDescent="0.25">
      <c r="A234" s="17"/>
      <c r="B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20"/>
      <c r="S234" s="21"/>
      <c r="T234" s="22"/>
    </row>
    <row r="235" spans="1:20" ht="13.2" x14ac:dyDescent="0.25">
      <c r="A235" s="17"/>
      <c r="B235" s="17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20"/>
      <c r="S235" s="21"/>
      <c r="T235" s="22"/>
    </row>
    <row r="236" spans="1:20" ht="13.2" x14ac:dyDescent="0.25">
      <c r="A236" s="17"/>
      <c r="B236" s="17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20"/>
      <c r="S236" s="21"/>
      <c r="T236" s="22"/>
    </row>
    <row r="237" spans="1:20" ht="13.2" x14ac:dyDescent="0.25">
      <c r="A237" s="17"/>
      <c r="B237" s="17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20"/>
      <c r="S237" s="21"/>
      <c r="T237" s="22"/>
    </row>
    <row r="238" spans="1:20" ht="13.2" x14ac:dyDescent="0.25">
      <c r="A238" s="17"/>
      <c r="B238" s="17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20"/>
      <c r="S238" s="21"/>
      <c r="T238" s="22"/>
    </row>
    <row r="239" spans="1:20" ht="13.2" x14ac:dyDescent="0.25">
      <c r="A239" s="17"/>
      <c r="B239" s="17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20"/>
      <c r="S239" s="21"/>
      <c r="T239" s="22"/>
    </row>
    <row r="240" spans="1:20" ht="13.2" x14ac:dyDescent="0.25">
      <c r="A240" s="17"/>
      <c r="B240" s="17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20"/>
      <c r="S240" s="21"/>
      <c r="T240" s="22"/>
    </row>
    <row r="241" spans="1:20" ht="13.2" x14ac:dyDescent="0.25">
      <c r="A241" s="17"/>
      <c r="B241" s="17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20"/>
      <c r="S241" s="21"/>
      <c r="T241" s="22"/>
    </row>
    <row r="242" spans="1:20" ht="13.2" x14ac:dyDescent="0.25">
      <c r="A242" s="17"/>
      <c r="B242" s="17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20"/>
      <c r="S242" s="21"/>
      <c r="T242" s="22"/>
    </row>
    <row r="243" spans="1:20" ht="13.2" x14ac:dyDescent="0.25">
      <c r="A243" s="17"/>
      <c r="B243" s="17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20"/>
      <c r="S243" s="21"/>
      <c r="T243" s="22"/>
    </row>
    <row r="244" spans="1:20" ht="13.2" x14ac:dyDescent="0.25">
      <c r="A244" s="17"/>
      <c r="B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20"/>
      <c r="S244" s="21"/>
      <c r="T244" s="22"/>
    </row>
    <row r="245" spans="1:20" ht="13.2" x14ac:dyDescent="0.25">
      <c r="A245" s="17"/>
      <c r="B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20"/>
      <c r="S245" s="21"/>
      <c r="T245" s="22"/>
    </row>
    <row r="246" spans="1:20" ht="13.2" x14ac:dyDescent="0.25">
      <c r="A246" s="17"/>
      <c r="B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20"/>
      <c r="S246" s="21"/>
      <c r="T246" s="22"/>
    </row>
    <row r="247" spans="1:20" ht="13.2" x14ac:dyDescent="0.25">
      <c r="A247" s="17"/>
      <c r="B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20"/>
      <c r="S247" s="21"/>
      <c r="T247" s="22"/>
    </row>
    <row r="248" spans="1:20" ht="13.2" x14ac:dyDescent="0.25">
      <c r="A248" s="17"/>
      <c r="B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20"/>
      <c r="S248" s="21"/>
      <c r="T248" s="22"/>
    </row>
    <row r="249" spans="1:20" ht="13.2" x14ac:dyDescent="0.25">
      <c r="A249" s="17"/>
      <c r="B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20"/>
      <c r="S249" s="21"/>
      <c r="T249" s="22"/>
    </row>
    <row r="250" spans="1:20" ht="13.2" x14ac:dyDescent="0.25">
      <c r="A250" s="17"/>
      <c r="B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20"/>
      <c r="S250" s="21"/>
      <c r="T250" s="22"/>
    </row>
    <row r="251" spans="1:20" ht="13.2" x14ac:dyDescent="0.25">
      <c r="A251" s="17"/>
      <c r="B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20"/>
      <c r="S251" s="21"/>
      <c r="T251" s="22"/>
    </row>
    <row r="252" spans="1:20" ht="13.2" x14ac:dyDescent="0.25">
      <c r="A252" s="17"/>
      <c r="B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20"/>
      <c r="S252" s="21"/>
      <c r="T252" s="22"/>
    </row>
    <row r="253" spans="1:20" ht="13.2" x14ac:dyDescent="0.25">
      <c r="A253" s="17"/>
      <c r="B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20"/>
      <c r="S253" s="21"/>
      <c r="T253" s="22"/>
    </row>
    <row r="254" spans="1:20" ht="13.2" x14ac:dyDescent="0.25">
      <c r="A254" s="17"/>
      <c r="B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20"/>
      <c r="S254" s="21"/>
      <c r="T254" s="22"/>
    </row>
    <row r="255" spans="1:20" ht="13.2" x14ac:dyDescent="0.25">
      <c r="A255" s="17"/>
      <c r="B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20"/>
      <c r="S255" s="21"/>
      <c r="T255" s="22"/>
    </row>
    <row r="256" spans="1:20" ht="13.2" x14ac:dyDescent="0.25">
      <c r="A256" s="17"/>
      <c r="B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20"/>
      <c r="S256" s="21"/>
      <c r="T256" s="22"/>
    </row>
    <row r="257" spans="1:20" ht="13.2" x14ac:dyDescent="0.25">
      <c r="A257" s="17"/>
      <c r="B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20"/>
      <c r="S257" s="21"/>
      <c r="T257" s="22"/>
    </row>
    <row r="258" spans="1:20" ht="13.2" x14ac:dyDescent="0.25">
      <c r="A258" s="17"/>
      <c r="B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20"/>
      <c r="S258" s="21"/>
      <c r="T258" s="22"/>
    </row>
    <row r="259" spans="1:20" ht="13.2" x14ac:dyDescent="0.25">
      <c r="A259" s="17"/>
      <c r="B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20"/>
      <c r="S259" s="21"/>
      <c r="T259" s="22"/>
    </row>
    <row r="260" spans="1:20" ht="13.2" x14ac:dyDescent="0.25">
      <c r="A260" s="17"/>
      <c r="B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20"/>
      <c r="S260" s="21"/>
      <c r="T260" s="22"/>
    </row>
    <row r="261" spans="1:20" ht="13.2" x14ac:dyDescent="0.25">
      <c r="A261" s="17"/>
      <c r="B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20"/>
      <c r="S261" s="21"/>
      <c r="T261" s="22"/>
    </row>
    <row r="262" spans="1:20" ht="13.2" x14ac:dyDescent="0.25">
      <c r="A262" s="17"/>
      <c r="B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20"/>
      <c r="S262" s="21"/>
      <c r="T262" s="22"/>
    </row>
    <row r="263" spans="1:20" ht="13.2" x14ac:dyDescent="0.25">
      <c r="A263" s="17"/>
      <c r="B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20"/>
      <c r="S263" s="21"/>
      <c r="T263" s="22"/>
    </row>
    <row r="264" spans="1:20" ht="13.2" x14ac:dyDescent="0.25">
      <c r="A264" s="17"/>
      <c r="B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20"/>
      <c r="S264" s="21"/>
      <c r="T264" s="22"/>
    </row>
    <row r="265" spans="1:20" ht="13.2" x14ac:dyDescent="0.25">
      <c r="A265" s="17"/>
      <c r="B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20"/>
      <c r="S265" s="21"/>
      <c r="T265" s="22"/>
    </row>
    <row r="266" spans="1:20" ht="13.2" x14ac:dyDescent="0.25">
      <c r="A266" s="17"/>
      <c r="B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20"/>
      <c r="S266" s="21"/>
      <c r="T266" s="22"/>
    </row>
    <row r="267" spans="1:20" ht="13.2" x14ac:dyDescent="0.25">
      <c r="A267" s="17"/>
      <c r="B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20"/>
      <c r="S267" s="21"/>
      <c r="T267" s="22"/>
    </row>
    <row r="268" spans="1:20" ht="13.2" x14ac:dyDescent="0.25">
      <c r="A268" s="17"/>
      <c r="B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20"/>
      <c r="S268" s="21"/>
      <c r="T268" s="22"/>
    </row>
    <row r="269" spans="1:20" ht="13.2" x14ac:dyDescent="0.25">
      <c r="A269" s="17"/>
      <c r="B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20"/>
      <c r="S269" s="21"/>
      <c r="T269" s="22"/>
    </row>
    <row r="270" spans="1:20" ht="13.2" x14ac:dyDescent="0.25">
      <c r="A270" s="17"/>
      <c r="B270" s="17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20"/>
      <c r="S270" s="21"/>
      <c r="T270" s="22"/>
    </row>
    <row r="271" spans="1:20" ht="13.2" x14ac:dyDescent="0.25">
      <c r="A271" s="17"/>
      <c r="B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20"/>
      <c r="S271" s="21"/>
      <c r="T271" s="22"/>
    </row>
    <row r="272" spans="1:20" ht="13.2" x14ac:dyDescent="0.25">
      <c r="A272" s="17"/>
      <c r="B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20"/>
      <c r="S272" s="21"/>
      <c r="T272" s="22"/>
    </row>
    <row r="273" spans="1:20" ht="13.2" x14ac:dyDescent="0.25">
      <c r="A273" s="17"/>
      <c r="B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20"/>
      <c r="S273" s="21"/>
      <c r="T273" s="22"/>
    </row>
    <row r="274" spans="1:20" ht="13.2" x14ac:dyDescent="0.25">
      <c r="A274" s="17"/>
      <c r="B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20"/>
      <c r="S274" s="21"/>
      <c r="T274" s="22"/>
    </row>
    <row r="275" spans="1:20" ht="13.2" x14ac:dyDescent="0.25">
      <c r="A275" s="17"/>
      <c r="B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20"/>
      <c r="S275" s="21"/>
      <c r="T275" s="22"/>
    </row>
    <row r="276" spans="1:20" ht="13.2" x14ac:dyDescent="0.25">
      <c r="A276" s="17"/>
      <c r="B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20"/>
      <c r="S276" s="21"/>
      <c r="T276" s="22"/>
    </row>
    <row r="277" spans="1:20" ht="13.2" x14ac:dyDescent="0.25">
      <c r="A277" s="17"/>
      <c r="B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20"/>
      <c r="S277" s="21"/>
      <c r="T277" s="22"/>
    </row>
    <row r="278" spans="1:20" ht="13.2" x14ac:dyDescent="0.25">
      <c r="A278" s="17"/>
      <c r="B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20"/>
      <c r="S278" s="21"/>
      <c r="T278" s="22"/>
    </row>
    <row r="279" spans="1:20" ht="13.2" x14ac:dyDescent="0.25">
      <c r="A279" s="17"/>
      <c r="B279" s="17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20"/>
      <c r="S279" s="21"/>
      <c r="T279" s="22"/>
    </row>
    <row r="280" spans="1:20" ht="13.2" x14ac:dyDescent="0.25">
      <c r="A280" s="17"/>
      <c r="B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20"/>
      <c r="S280" s="21"/>
      <c r="T280" s="22"/>
    </row>
    <row r="281" spans="1:20" ht="13.2" x14ac:dyDescent="0.25">
      <c r="A281" s="17"/>
      <c r="B281" s="17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20"/>
      <c r="S281" s="21"/>
      <c r="T281" s="22"/>
    </row>
    <row r="282" spans="1:20" ht="13.2" x14ac:dyDescent="0.25">
      <c r="A282" s="17"/>
      <c r="B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20"/>
      <c r="S282" s="21"/>
      <c r="T282" s="22"/>
    </row>
    <row r="283" spans="1:20" ht="13.2" x14ac:dyDescent="0.25">
      <c r="A283" s="17"/>
      <c r="B283" s="17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20"/>
      <c r="S283" s="21"/>
      <c r="T283" s="22"/>
    </row>
    <row r="284" spans="1:20" ht="13.2" x14ac:dyDescent="0.25">
      <c r="A284" s="17"/>
      <c r="B284" s="17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20"/>
      <c r="S284" s="21"/>
      <c r="T284" s="22"/>
    </row>
    <row r="285" spans="1:20" ht="13.2" x14ac:dyDescent="0.25">
      <c r="A285" s="17"/>
      <c r="B285" s="17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20"/>
      <c r="S285" s="21"/>
      <c r="T285" s="22"/>
    </row>
    <row r="286" spans="1:20" ht="13.2" x14ac:dyDescent="0.25">
      <c r="A286" s="17"/>
      <c r="B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20"/>
      <c r="S286" s="21"/>
      <c r="T286" s="22"/>
    </row>
    <row r="287" spans="1:20" ht="13.2" x14ac:dyDescent="0.25">
      <c r="A287" s="17"/>
      <c r="B287" s="17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20"/>
      <c r="S287" s="21"/>
      <c r="T287" s="22"/>
    </row>
    <row r="288" spans="1:20" ht="13.2" x14ac:dyDescent="0.25">
      <c r="A288" s="17"/>
      <c r="B288" s="17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20"/>
      <c r="S288" s="21"/>
      <c r="T288" s="22"/>
    </row>
    <row r="289" spans="1:20" ht="13.2" x14ac:dyDescent="0.25">
      <c r="A289" s="17"/>
      <c r="B289" s="17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20"/>
      <c r="S289" s="21"/>
      <c r="T289" s="22"/>
    </row>
    <row r="290" spans="1:20" ht="13.2" x14ac:dyDescent="0.25">
      <c r="A290" s="17"/>
      <c r="B290" s="17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20"/>
      <c r="S290" s="21"/>
      <c r="T290" s="22"/>
    </row>
    <row r="291" spans="1:20" ht="13.2" x14ac:dyDescent="0.25">
      <c r="A291" s="17"/>
      <c r="B291" s="17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20"/>
      <c r="S291" s="21"/>
      <c r="T291" s="22"/>
    </row>
    <row r="292" spans="1:20" ht="13.2" x14ac:dyDescent="0.25">
      <c r="A292" s="17"/>
      <c r="B292" s="17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20"/>
      <c r="S292" s="21"/>
      <c r="T292" s="22"/>
    </row>
    <row r="293" spans="1:20" ht="13.2" x14ac:dyDescent="0.25">
      <c r="A293" s="17"/>
      <c r="B293" s="17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20"/>
      <c r="S293" s="21"/>
      <c r="T293" s="22"/>
    </row>
    <row r="294" spans="1:20" ht="13.2" x14ac:dyDescent="0.25">
      <c r="A294" s="17"/>
      <c r="B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20"/>
      <c r="S294" s="21"/>
      <c r="T294" s="22"/>
    </row>
    <row r="295" spans="1:20" ht="13.2" x14ac:dyDescent="0.25">
      <c r="A295" s="17"/>
      <c r="B295" s="17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20"/>
      <c r="S295" s="21"/>
      <c r="T295" s="22"/>
    </row>
    <row r="296" spans="1:20" ht="13.2" x14ac:dyDescent="0.25">
      <c r="A296" s="17"/>
      <c r="B296" s="17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20"/>
      <c r="S296" s="21"/>
      <c r="T296" s="22"/>
    </row>
    <row r="297" spans="1:20" ht="13.2" x14ac:dyDescent="0.25">
      <c r="A297" s="17"/>
      <c r="B297" s="17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20"/>
      <c r="S297" s="21"/>
      <c r="T297" s="22"/>
    </row>
    <row r="298" spans="1:20" ht="13.2" x14ac:dyDescent="0.25">
      <c r="A298" s="17"/>
      <c r="B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20"/>
      <c r="S298" s="21"/>
      <c r="T298" s="22"/>
    </row>
    <row r="299" spans="1:20" ht="13.2" x14ac:dyDescent="0.25">
      <c r="A299" s="17"/>
      <c r="B299" s="17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20"/>
      <c r="S299" s="21"/>
      <c r="T299" s="22"/>
    </row>
    <row r="300" spans="1:20" ht="13.2" x14ac:dyDescent="0.25">
      <c r="A300" s="17"/>
      <c r="B300" s="17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20"/>
      <c r="S300" s="21"/>
      <c r="T300" s="22"/>
    </row>
    <row r="301" spans="1:20" ht="13.2" x14ac:dyDescent="0.25">
      <c r="A301" s="17"/>
      <c r="B301" s="17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20"/>
      <c r="S301" s="21"/>
      <c r="T301" s="22"/>
    </row>
    <row r="302" spans="1:20" ht="13.2" x14ac:dyDescent="0.25">
      <c r="A302" s="17"/>
      <c r="B302" s="17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20"/>
      <c r="S302" s="21"/>
      <c r="T302" s="22"/>
    </row>
    <row r="303" spans="1:20" ht="13.2" x14ac:dyDescent="0.25">
      <c r="A303" s="17"/>
      <c r="B303" s="17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20"/>
      <c r="S303" s="21"/>
      <c r="T303" s="22"/>
    </row>
    <row r="304" spans="1:20" ht="13.2" x14ac:dyDescent="0.25">
      <c r="A304" s="17"/>
      <c r="B304" s="17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20"/>
      <c r="S304" s="21"/>
      <c r="T304" s="22"/>
    </row>
    <row r="305" spans="1:20" ht="13.2" x14ac:dyDescent="0.25">
      <c r="A305" s="17"/>
      <c r="B305" s="1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20"/>
      <c r="S305" s="21"/>
      <c r="T305" s="22"/>
    </row>
    <row r="306" spans="1:20" ht="13.2" x14ac:dyDescent="0.25">
      <c r="A306" s="17"/>
      <c r="B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20"/>
      <c r="S306" s="21"/>
      <c r="T306" s="22"/>
    </row>
    <row r="307" spans="1:20" ht="13.2" x14ac:dyDescent="0.25">
      <c r="A307" s="17"/>
      <c r="B307" s="17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20"/>
      <c r="S307" s="21"/>
      <c r="T307" s="22"/>
    </row>
    <row r="308" spans="1:20" ht="13.2" x14ac:dyDescent="0.25">
      <c r="A308" s="17"/>
      <c r="B308" s="17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20"/>
      <c r="S308" s="21"/>
      <c r="T308" s="22"/>
    </row>
    <row r="309" spans="1:20" ht="13.2" x14ac:dyDescent="0.25">
      <c r="A309" s="17"/>
      <c r="B309" s="17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20"/>
      <c r="S309" s="21"/>
      <c r="T309" s="22"/>
    </row>
    <row r="310" spans="1:20" ht="13.2" x14ac:dyDescent="0.25">
      <c r="A310" s="17"/>
      <c r="B310" s="17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20"/>
      <c r="S310" s="21"/>
      <c r="T310" s="22"/>
    </row>
    <row r="311" spans="1:20" ht="13.2" x14ac:dyDescent="0.25">
      <c r="A311" s="17"/>
      <c r="B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20"/>
      <c r="S311" s="21"/>
      <c r="T311" s="22"/>
    </row>
    <row r="312" spans="1:20" ht="13.2" x14ac:dyDescent="0.25">
      <c r="A312" s="17"/>
      <c r="B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20"/>
      <c r="S312" s="21"/>
      <c r="T312" s="22"/>
    </row>
    <row r="313" spans="1:20" ht="13.2" x14ac:dyDescent="0.25">
      <c r="A313" s="17"/>
      <c r="B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20"/>
      <c r="S313" s="21"/>
      <c r="T313" s="22"/>
    </row>
    <row r="314" spans="1:20" ht="13.2" x14ac:dyDescent="0.25">
      <c r="A314" s="17"/>
      <c r="B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20"/>
      <c r="S314" s="21"/>
      <c r="T314" s="22"/>
    </row>
    <row r="315" spans="1:20" ht="13.2" x14ac:dyDescent="0.25">
      <c r="A315" s="17"/>
      <c r="B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20"/>
      <c r="S315" s="21"/>
      <c r="T315" s="22"/>
    </row>
    <row r="316" spans="1:20" ht="13.2" x14ac:dyDescent="0.25">
      <c r="A316" s="17"/>
      <c r="B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20"/>
      <c r="S316" s="21"/>
      <c r="T316" s="22"/>
    </row>
    <row r="317" spans="1:20" ht="13.2" x14ac:dyDescent="0.25">
      <c r="A317" s="17"/>
      <c r="B317" s="17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20"/>
      <c r="S317" s="21"/>
      <c r="T317" s="22"/>
    </row>
    <row r="318" spans="1:20" ht="13.2" x14ac:dyDescent="0.25">
      <c r="A318" s="17"/>
      <c r="B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20"/>
      <c r="S318" s="21"/>
      <c r="T318" s="22"/>
    </row>
    <row r="319" spans="1:20" ht="13.2" x14ac:dyDescent="0.25">
      <c r="A319" s="17"/>
      <c r="B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20"/>
      <c r="S319" s="21"/>
      <c r="T319" s="22"/>
    </row>
    <row r="320" spans="1:20" ht="13.2" x14ac:dyDescent="0.25">
      <c r="A320" s="17"/>
      <c r="B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20"/>
      <c r="S320" s="21"/>
      <c r="T320" s="22"/>
    </row>
    <row r="321" spans="1:20" ht="13.2" x14ac:dyDescent="0.25">
      <c r="A321" s="17"/>
      <c r="B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20"/>
      <c r="S321" s="21"/>
      <c r="T321" s="22"/>
    </row>
    <row r="322" spans="1:20" ht="13.2" x14ac:dyDescent="0.25">
      <c r="A322" s="17"/>
      <c r="B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20"/>
      <c r="S322" s="21"/>
      <c r="T322" s="22"/>
    </row>
    <row r="323" spans="1:20" ht="13.2" x14ac:dyDescent="0.25">
      <c r="A323" s="17"/>
      <c r="B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20"/>
      <c r="S323" s="21"/>
      <c r="T323" s="22"/>
    </row>
    <row r="324" spans="1:20" ht="13.2" x14ac:dyDescent="0.25">
      <c r="A324" s="17"/>
      <c r="B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20"/>
      <c r="S324" s="21"/>
      <c r="T324" s="22"/>
    </row>
    <row r="325" spans="1:20" ht="13.2" x14ac:dyDescent="0.25">
      <c r="A325" s="17"/>
      <c r="B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20"/>
      <c r="S325" s="21"/>
      <c r="T325" s="22"/>
    </row>
    <row r="326" spans="1:20" ht="13.2" x14ac:dyDescent="0.25">
      <c r="A326" s="17"/>
      <c r="B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20"/>
      <c r="S326" s="21"/>
      <c r="T326" s="22"/>
    </row>
    <row r="327" spans="1:20" ht="13.2" x14ac:dyDescent="0.25">
      <c r="A327" s="17"/>
      <c r="B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20"/>
      <c r="S327" s="21"/>
      <c r="T327" s="22"/>
    </row>
    <row r="328" spans="1:20" ht="13.2" x14ac:dyDescent="0.25">
      <c r="A328" s="17"/>
      <c r="B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20"/>
      <c r="S328" s="21"/>
      <c r="T328" s="22"/>
    </row>
    <row r="329" spans="1:20" ht="13.2" x14ac:dyDescent="0.25">
      <c r="A329" s="17"/>
      <c r="B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20"/>
      <c r="S329" s="21"/>
      <c r="T329" s="22"/>
    </row>
    <row r="330" spans="1:20" ht="13.2" x14ac:dyDescent="0.25">
      <c r="A330" s="17"/>
      <c r="B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20"/>
      <c r="S330" s="21"/>
      <c r="T330" s="22"/>
    </row>
    <row r="331" spans="1:20" ht="13.2" x14ac:dyDescent="0.25">
      <c r="A331" s="17"/>
      <c r="B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20"/>
      <c r="S331" s="21"/>
      <c r="T331" s="22"/>
    </row>
    <row r="332" spans="1:20" ht="13.2" x14ac:dyDescent="0.25">
      <c r="A332" s="17"/>
      <c r="B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20"/>
      <c r="S332" s="21"/>
      <c r="T332" s="22"/>
    </row>
    <row r="333" spans="1:20" ht="13.2" x14ac:dyDescent="0.25">
      <c r="A333" s="17"/>
      <c r="B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20"/>
      <c r="S333" s="21"/>
      <c r="T333" s="22"/>
    </row>
    <row r="334" spans="1:20" ht="13.2" x14ac:dyDescent="0.25">
      <c r="A334" s="17"/>
      <c r="B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20"/>
      <c r="S334" s="21"/>
      <c r="T334" s="22"/>
    </row>
    <row r="335" spans="1:20" ht="13.2" x14ac:dyDescent="0.25">
      <c r="A335" s="17"/>
      <c r="B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20"/>
      <c r="S335" s="21"/>
      <c r="T335" s="22"/>
    </row>
    <row r="336" spans="1:20" ht="13.2" x14ac:dyDescent="0.25">
      <c r="A336" s="17"/>
      <c r="B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20"/>
      <c r="S336" s="21"/>
      <c r="T336" s="22"/>
    </row>
    <row r="337" spans="1:20" ht="13.2" x14ac:dyDescent="0.25">
      <c r="A337" s="17"/>
      <c r="B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20"/>
      <c r="S337" s="21"/>
      <c r="T337" s="22"/>
    </row>
    <row r="338" spans="1:20" ht="13.2" x14ac:dyDescent="0.25">
      <c r="A338" s="17"/>
      <c r="B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20"/>
      <c r="S338" s="21"/>
      <c r="T338" s="22"/>
    </row>
    <row r="339" spans="1:20" ht="13.2" x14ac:dyDescent="0.25">
      <c r="A339" s="17"/>
      <c r="B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20"/>
      <c r="S339" s="21"/>
      <c r="T339" s="22"/>
    </row>
    <row r="340" spans="1:20" ht="13.2" x14ac:dyDescent="0.25">
      <c r="A340" s="17"/>
      <c r="B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20"/>
      <c r="S340" s="21"/>
      <c r="T340" s="22"/>
    </row>
    <row r="341" spans="1:20" ht="13.2" x14ac:dyDescent="0.25">
      <c r="A341" s="17"/>
      <c r="B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20"/>
      <c r="S341" s="21"/>
      <c r="T341" s="22"/>
    </row>
    <row r="342" spans="1:20" ht="13.2" x14ac:dyDescent="0.25">
      <c r="A342" s="17"/>
      <c r="B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20"/>
      <c r="S342" s="21"/>
      <c r="T342" s="22"/>
    </row>
    <row r="343" spans="1:20" ht="13.2" x14ac:dyDescent="0.25">
      <c r="A343" s="17"/>
      <c r="B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20"/>
      <c r="S343" s="21"/>
      <c r="T343" s="22"/>
    </row>
    <row r="344" spans="1:20" ht="13.2" x14ac:dyDescent="0.25">
      <c r="A344" s="17"/>
      <c r="B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20"/>
      <c r="S344" s="21"/>
      <c r="T344" s="22"/>
    </row>
    <row r="345" spans="1:20" ht="13.2" x14ac:dyDescent="0.25">
      <c r="A345" s="17"/>
      <c r="B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20"/>
      <c r="S345" s="21"/>
      <c r="T345" s="22"/>
    </row>
    <row r="346" spans="1:20" ht="13.2" x14ac:dyDescent="0.25">
      <c r="A346" s="17"/>
      <c r="B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20"/>
      <c r="S346" s="21"/>
      <c r="T346" s="22"/>
    </row>
    <row r="347" spans="1:20" ht="13.2" x14ac:dyDescent="0.25">
      <c r="A347" s="17"/>
      <c r="B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20"/>
      <c r="S347" s="21"/>
      <c r="T347" s="22"/>
    </row>
    <row r="348" spans="1:20" ht="13.2" x14ac:dyDescent="0.25">
      <c r="A348" s="17"/>
      <c r="B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20"/>
      <c r="S348" s="21"/>
      <c r="T348" s="22"/>
    </row>
    <row r="349" spans="1:20" ht="13.2" x14ac:dyDescent="0.25">
      <c r="A349" s="17"/>
      <c r="B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20"/>
      <c r="S349" s="21"/>
      <c r="T349" s="22"/>
    </row>
    <row r="350" spans="1:20" ht="13.2" x14ac:dyDescent="0.25">
      <c r="A350" s="17"/>
      <c r="B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20"/>
      <c r="S350" s="21"/>
      <c r="T350" s="22"/>
    </row>
    <row r="351" spans="1:20" ht="13.2" x14ac:dyDescent="0.25">
      <c r="A351" s="17"/>
      <c r="B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20"/>
      <c r="S351" s="21"/>
      <c r="T351" s="22"/>
    </row>
    <row r="352" spans="1:20" ht="13.2" x14ac:dyDescent="0.25">
      <c r="A352" s="17"/>
      <c r="B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20"/>
      <c r="S352" s="21"/>
      <c r="T352" s="22"/>
    </row>
    <row r="353" spans="1:20" ht="13.2" x14ac:dyDescent="0.25">
      <c r="A353" s="17"/>
      <c r="B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20"/>
      <c r="S353" s="21"/>
      <c r="T353" s="22"/>
    </row>
    <row r="354" spans="1:20" ht="13.2" x14ac:dyDescent="0.25">
      <c r="A354" s="17"/>
      <c r="B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20"/>
      <c r="S354" s="21"/>
      <c r="T354" s="22"/>
    </row>
    <row r="355" spans="1:20" ht="13.2" x14ac:dyDescent="0.25">
      <c r="A355" s="17"/>
      <c r="B355" s="17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20"/>
      <c r="S355" s="21"/>
      <c r="T355" s="22"/>
    </row>
    <row r="356" spans="1:20" ht="13.2" x14ac:dyDescent="0.25">
      <c r="A356" s="17"/>
      <c r="B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20"/>
      <c r="S356" s="21"/>
      <c r="T356" s="22"/>
    </row>
    <row r="357" spans="1:20" ht="13.2" x14ac:dyDescent="0.25">
      <c r="A357" s="17"/>
      <c r="B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20"/>
      <c r="S357" s="21"/>
      <c r="T357" s="22"/>
    </row>
    <row r="358" spans="1:20" ht="13.2" x14ac:dyDescent="0.25">
      <c r="A358" s="17"/>
      <c r="B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20"/>
      <c r="S358" s="21"/>
      <c r="T358" s="22"/>
    </row>
    <row r="359" spans="1:20" ht="13.2" x14ac:dyDescent="0.25">
      <c r="A359" s="17"/>
      <c r="B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20"/>
      <c r="S359" s="21"/>
      <c r="T359" s="22"/>
    </row>
    <row r="360" spans="1:20" ht="13.2" x14ac:dyDescent="0.25">
      <c r="A360" s="17"/>
      <c r="B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20"/>
      <c r="S360" s="21"/>
      <c r="T360" s="22"/>
    </row>
    <row r="361" spans="1:20" ht="13.2" x14ac:dyDescent="0.25">
      <c r="A361" s="17"/>
      <c r="B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20"/>
      <c r="S361" s="21"/>
      <c r="T361" s="22"/>
    </row>
    <row r="362" spans="1:20" ht="13.2" x14ac:dyDescent="0.25">
      <c r="A362" s="17"/>
      <c r="B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20"/>
      <c r="S362" s="21"/>
      <c r="T362" s="22"/>
    </row>
    <row r="363" spans="1:20" ht="13.2" x14ac:dyDescent="0.25">
      <c r="A363" s="17"/>
      <c r="B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20"/>
      <c r="S363" s="21"/>
      <c r="T363" s="22"/>
    </row>
    <row r="364" spans="1:20" ht="13.2" x14ac:dyDescent="0.25">
      <c r="A364" s="17"/>
      <c r="B364" s="17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20"/>
      <c r="S364" s="21"/>
      <c r="T364" s="22"/>
    </row>
    <row r="365" spans="1:20" ht="13.2" x14ac:dyDescent="0.25">
      <c r="A365" s="17"/>
      <c r="B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20"/>
      <c r="S365" s="21"/>
      <c r="T365" s="22"/>
    </row>
    <row r="366" spans="1:20" ht="13.2" x14ac:dyDescent="0.25">
      <c r="A366" s="17"/>
      <c r="B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20"/>
      <c r="S366" s="21"/>
      <c r="T366" s="22"/>
    </row>
    <row r="367" spans="1:20" ht="13.2" x14ac:dyDescent="0.25">
      <c r="A367" s="17"/>
      <c r="B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20"/>
      <c r="S367" s="21"/>
      <c r="T367" s="22"/>
    </row>
    <row r="368" spans="1:20" ht="13.2" x14ac:dyDescent="0.25">
      <c r="A368" s="17"/>
      <c r="B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20"/>
      <c r="S368" s="21"/>
      <c r="T368" s="22"/>
    </row>
    <row r="369" spans="1:20" ht="13.2" x14ac:dyDescent="0.25">
      <c r="A369" s="17"/>
      <c r="B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20"/>
      <c r="S369" s="21"/>
      <c r="T369" s="22"/>
    </row>
    <row r="370" spans="1:20" ht="13.2" x14ac:dyDescent="0.25">
      <c r="A370" s="17"/>
      <c r="B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20"/>
      <c r="S370" s="21"/>
      <c r="T370" s="22"/>
    </row>
    <row r="371" spans="1:20" ht="13.2" x14ac:dyDescent="0.25">
      <c r="A371" s="17"/>
      <c r="B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20"/>
      <c r="S371" s="21"/>
      <c r="T371" s="22"/>
    </row>
    <row r="372" spans="1:20" ht="13.2" x14ac:dyDescent="0.25">
      <c r="A372" s="17"/>
      <c r="B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20"/>
      <c r="S372" s="21"/>
      <c r="T372" s="22"/>
    </row>
    <row r="373" spans="1:20" ht="13.2" x14ac:dyDescent="0.25">
      <c r="A373" s="17"/>
      <c r="B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20"/>
      <c r="S373" s="21"/>
      <c r="T373" s="22"/>
    </row>
    <row r="374" spans="1:20" ht="13.2" x14ac:dyDescent="0.25">
      <c r="A374" s="17"/>
      <c r="B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20"/>
      <c r="S374" s="21"/>
      <c r="T374" s="22"/>
    </row>
    <row r="375" spans="1:20" ht="13.2" x14ac:dyDescent="0.25">
      <c r="A375" s="17"/>
      <c r="B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20"/>
      <c r="S375" s="21"/>
      <c r="T375" s="22"/>
    </row>
    <row r="376" spans="1:20" ht="13.2" x14ac:dyDescent="0.25">
      <c r="A376" s="17"/>
      <c r="B376" s="17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20"/>
      <c r="S376" s="21"/>
      <c r="T376" s="22"/>
    </row>
    <row r="377" spans="1:20" ht="13.2" x14ac:dyDescent="0.25">
      <c r="A377" s="17"/>
      <c r="B377" s="17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20"/>
      <c r="S377" s="21"/>
      <c r="T377" s="22"/>
    </row>
    <row r="378" spans="1:20" ht="13.2" x14ac:dyDescent="0.25">
      <c r="A378" s="17"/>
      <c r="B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20"/>
      <c r="S378" s="21"/>
      <c r="T378" s="22"/>
    </row>
    <row r="379" spans="1:20" ht="13.2" x14ac:dyDescent="0.25">
      <c r="A379" s="17"/>
      <c r="B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20"/>
      <c r="S379" s="21"/>
      <c r="T379" s="22"/>
    </row>
    <row r="380" spans="1:20" ht="13.2" x14ac:dyDescent="0.25">
      <c r="A380" s="17"/>
      <c r="B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20"/>
      <c r="S380" s="21"/>
      <c r="T380" s="22"/>
    </row>
    <row r="381" spans="1:20" ht="13.2" x14ac:dyDescent="0.25">
      <c r="A381" s="17"/>
      <c r="B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20"/>
      <c r="S381" s="21"/>
      <c r="T381" s="22"/>
    </row>
    <row r="382" spans="1:20" ht="13.2" x14ac:dyDescent="0.25">
      <c r="A382" s="17"/>
      <c r="B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20"/>
      <c r="S382" s="21"/>
      <c r="T382" s="22"/>
    </row>
    <row r="383" spans="1:20" ht="13.2" x14ac:dyDescent="0.25">
      <c r="A383" s="17"/>
      <c r="B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20"/>
      <c r="S383" s="21"/>
      <c r="T383" s="22"/>
    </row>
    <row r="384" spans="1:20" ht="13.2" x14ac:dyDescent="0.25">
      <c r="A384" s="17"/>
      <c r="B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20"/>
      <c r="S384" s="21"/>
      <c r="T384" s="22"/>
    </row>
    <row r="385" spans="1:20" ht="13.2" x14ac:dyDescent="0.25">
      <c r="A385" s="17"/>
      <c r="B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20"/>
      <c r="S385" s="21"/>
      <c r="T385" s="22"/>
    </row>
    <row r="386" spans="1:20" ht="13.2" x14ac:dyDescent="0.25">
      <c r="A386" s="17"/>
      <c r="B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20"/>
      <c r="S386" s="21"/>
      <c r="T386" s="22"/>
    </row>
    <row r="387" spans="1:20" ht="13.2" x14ac:dyDescent="0.25">
      <c r="A387" s="17"/>
      <c r="B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20"/>
      <c r="S387" s="21"/>
      <c r="T387" s="22"/>
    </row>
    <row r="388" spans="1:20" ht="13.2" x14ac:dyDescent="0.25">
      <c r="A388" s="17"/>
      <c r="B388" s="17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20"/>
      <c r="S388" s="21"/>
      <c r="T388" s="22"/>
    </row>
    <row r="389" spans="1:20" ht="13.2" x14ac:dyDescent="0.25">
      <c r="A389" s="17"/>
      <c r="B389" s="17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20"/>
      <c r="S389" s="21"/>
      <c r="T389" s="22"/>
    </row>
    <row r="390" spans="1:20" ht="13.2" x14ac:dyDescent="0.25">
      <c r="A390" s="17"/>
      <c r="B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20"/>
      <c r="S390" s="21"/>
      <c r="T390" s="22"/>
    </row>
    <row r="391" spans="1:20" ht="13.2" x14ac:dyDescent="0.25">
      <c r="A391" s="17"/>
      <c r="B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20"/>
      <c r="S391" s="21"/>
      <c r="T391" s="22"/>
    </row>
    <row r="392" spans="1:20" ht="13.2" x14ac:dyDescent="0.25">
      <c r="A392" s="17"/>
      <c r="B392" s="17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20"/>
      <c r="S392" s="21"/>
      <c r="T392" s="22"/>
    </row>
    <row r="393" spans="1:20" ht="13.2" x14ac:dyDescent="0.25">
      <c r="A393" s="17"/>
      <c r="B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20"/>
      <c r="S393" s="21"/>
      <c r="T393" s="22"/>
    </row>
    <row r="394" spans="1:20" ht="13.2" x14ac:dyDescent="0.25">
      <c r="A394" s="17"/>
      <c r="B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20"/>
      <c r="S394" s="21"/>
      <c r="T394" s="22"/>
    </row>
    <row r="395" spans="1:20" ht="13.2" x14ac:dyDescent="0.25">
      <c r="A395" s="17"/>
      <c r="B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20"/>
      <c r="S395" s="21"/>
      <c r="T395" s="22"/>
    </row>
    <row r="396" spans="1:20" ht="13.2" x14ac:dyDescent="0.25">
      <c r="A396" s="17"/>
      <c r="B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20"/>
      <c r="S396" s="21"/>
      <c r="T396" s="22"/>
    </row>
    <row r="397" spans="1:20" ht="13.2" x14ac:dyDescent="0.25">
      <c r="A397" s="17"/>
      <c r="B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20"/>
      <c r="S397" s="21"/>
      <c r="T397" s="22"/>
    </row>
    <row r="398" spans="1:20" ht="13.2" x14ac:dyDescent="0.25">
      <c r="A398" s="17"/>
      <c r="B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20"/>
      <c r="S398" s="21"/>
      <c r="T398" s="22"/>
    </row>
    <row r="399" spans="1:20" ht="13.2" x14ac:dyDescent="0.25">
      <c r="A399" s="17"/>
      <c r="B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20"/>
      <c r="S399" s="21"/>
      <c r="T399" s="22"/>
    </row>
    <row r="400" spans="1:20" ht="13.2" x14ac:dyDescent="0.25">
      <c r="A400" s="17"/>
      <c r="B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20"/>
      <c r="S400" s="21"/>
      <c r="T400" s="22"/>
    </row>
    <row r="401" spans="1:20" ht="13.2" x14ac:dyDescent="0.25">
      <c r="A401" s="17"/>
      <c r="B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20"/>
      <c r="S401" s="21"/>
      <c r="T401" s="22"/>
    </row>
    <row r="402" spans="1:20" ht="13.2" x14ac:dyDescent="0.25">
      <c r="A402" s="17"/>
      <c r="B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20"/>
      <c r="S402" s="21"/>
      <c r="T402" s="22"/>
    </row>
    <row r="403" spans="1:20" ht="13.2" x14ac:dyDescent="0.25">
      <c r="A403" s="17"/>
      <c r="B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20"/>
      <c r="S403" s="21"/>
      <c r="T403" s="22"/>
    </row>
    <row r="404" spans="1:20" ht="13.2" x14ac:dyDescent="0.25">
      <c r="A404" s="17"/>
      <c r="B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20"/>
      <c r="S404" s="21"/>
      <c r="T404" s="22"/>
    </row>
    <row r="405" spans="1:20" ht="13.2" x14ac:dyDescent="0.25">
      <c r="A405" s="17"/>
      <c r="B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20"/>
      <c r="S405" s="21"/>
      <c r="T405" s="22"/>
    </row>
    <row r="406" spans="1:20" ht="13.2" x14ac:dyDescent="0.25">
      <c r="A406" s="17"/>
      <c r="B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20"/>
      <c r="S406" s="21"/>
      <c r="T406" s="22"/>
    </row>
    <row r="407" spans="1:20" ht="13.2" x14ac:dyDescent="0.25">
      <c r="A407" s="17"/>
      <c r="B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20"/>
      <c r="S407" s="21"/>
      <c r="T407" s="22"/>
    </row>
    <row r="408" spans="1:20" ht="13.2" x14ac:dyDescent="0.25">
      <c r="A408" s="17"/>
      <c r="B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20"/>
      <c r="S408" s="21"/>
      <c r="T408" s="22"/>
    </row>
    <row r="409" spans="1:20" ht="13.2" x14ac:dyDescent="0.25">
      <c r="A409" s="17"/>
      <c r="B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20"/>
      <c r="S409" s="21"/>
      <c r="T409" s="22"/>
    </row>
    <row r="410" spans="1:20" ht="13.2" x14ac:dyDescent="0.25">
      <c r="A410" s="17"/>
      <c r="B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20"/>
      <c r="S410" s="21"/>
      <c r="T410" s="22"/>
    </row>
    <row r="411" spans="1:20" ht="13.2" x14ac:dyDescent="0.25">
      <c r="A411" s="17"/>
      <c r="B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20"/>
      <c r="S411" s="21"/>
      <c r="T411" s="22"/>
    </row>
    <row r="412" spans="1:20" ht="13.2" x14ac:dyDescent="0.25">
      <c r="A412" s="17"/>
      <c r="B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20"/>
      <c r="S412" s="21"/>
      <c r="T412" s="22"/>
    </row>
    <row r="413" spans="1:20" ht="13.2" x14ac:dyDescent="0.25">
      <c r="A413" s="17"/>
      <c r="B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20"/>
      <c r="S413" s="21"/>
      <c r="T413" s="22"/>
    </row>
    <row r="414" spans="1:20" ht="13.2" x14ac:dyDescent="0.25">
      <c r="A414" s="17"/>
      <c r="B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20"/>
      <c r="S414" s="21"/>
      <c r="T414" s="22"/>
    </row>
    <row r="415" spans="1:20" ht="13.2" x14ac:dyDescent="0.25">
      <c r="A415" s="17"/>
      <c r="B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20"/>
      <c r="S415" s="21"/>
      <c r="T415" s="22"/>
    </row>
    <row r="416" spans="1:20" ht="13.2" x14ac:dyDescent="0.25">
      <c r="A416" s="17"/>
      <c r="B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20"/>
      <c r="S416" s="21"/>
      <c r="T416" s="22"/>
    </row>
    <row r="417" spans="1:20" ht="13.2" x14ac:dyDescent="0.25">
      <c r="A417" s="17"/>
      <c r="B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20"/>
      <c r="S417" s="21"/>
      <c r="T417" s="22"/>
    </row>
    <row r="418" spans="1:20" ht="13.2" x14ac:dyDescent="0.25">
      <c r="A418" s="17"/>
      <c r="B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20"/>
      <c r="S418" s="21"/>
      <c r="T418" s="22"/>
    </row>
    <row r="419" spans="1:20" ht="13.2" x14ac:dyDescent="0.25">
      <c r="A419" s="17"/>
      <c r="B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20"/>
      <c r="S419" s="21"/>
      <c r="T419" s="22"/>
    </row>
    <row r="420" spans="1:20" ht="13.2" x14ac:dyDescent="0.25">
      <c r="A420" s="17"/>
      <c r="B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20"/>
      <c r="S420" s="21"/>
      <c r="T420" s="22"/>
    </row>
    <row r="421" spans="1:20" ht="13.2" x14ac:dyDescent="0.25">
      <c r="A421" s="17"/>
      <c r="B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20"/>
      <c r="S421" s="21"/>
      <c r="T421" s="22"/>
    </row>
    <row r="422" spans="1:20" ht="13.2" x14ac:dyDescent="0.25">
      <c r="A422" s="17"/>
      <c r="B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20"/>
      <c r="S422" s="21"/>
      <c r="T422" s="22"/>
    </row>
    <row r="423" spans="1:20" ht="13.2" x14ac:dyDescent="0.25">
      <c r="A423" s="17"/>
      <c r="B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20"/>
      <c r="S423" s="21"/>
      <c r="T423" s="22"/>
    </row>
    <row r="424" spans="1:20" ht="13.2" x14ac:dyDescent="0.25">
      <c r="A424" s="17"/>
      <c r="B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20"/>
      <c r="S424" s="21"/>
      <c r="T424" s="22"/>
    </row>
    <row r="425" spans="1:20" ht="13.2" x14ac:dyDescent="0.25">
      <c r="A425" s="17"/>
      <c r="B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20"/>
      <c r="S425" s="21"/>
      <c r="T425" s="22"/>
    </row>
    <row r="426" spans="1:20" ht="13.2" x14ac:dyDescent="0.25">
      <c r="A426" s="17"/>
      <c r="B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20"/>
      <c r="S426" s="21"/>
      <c r="T426" s="22"/>
    </row>
    <row r="427" spans="1:20" ht="13.2" x14ac:dyDescent="0.25">
      <c r="A427" s="17"/>
      <c r="B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20"/>
      <c r="S427" s="21"/>
      <c r="T427" s="22"/>
    </row>
    <row r="428" spans="1:20" ht="13.2" x14ac:dyDescent="0.25">
      <c r="A428" s="17"/>
      <c r="B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20"/>
      <c r="S428" s="21"/>
      <c r="T428" s="22"/>
    </row>
    <row r="429" spans="1:20" ht="13.2" x14ac:dyDescent="0.25">
      <c r="A429" s="17"/>
      <c r="B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20"/>
      <c r="S429" s="21"/>
      <c r="T429" s="22"/>
    </row>
    <row r="430" spans="1:20" ht="13.2" x14ac:dyDescent="0.25">
      <c r="A430" s="17"/>
      <c r="B430" s="17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20"/>
      <c r="S430" s="21"/>
      <c r="T430" s="22"/>
    </row>
    <row r="431" spans="1:20" ht="13.2" x14ac:dyDescent="0.25">
      <c r="A431" s="17"/>
      <c r="B431" s="17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20"/>
      <c r="S431" s="21"/>
      <c r="T431" s="22"/>
    </row>
    <row r="432" spans="1:20" ht="13.2" x14ac:dyDescent="0.25">
      <c r="A432" s="17"/>
      <c r="B432" s="17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20"/>
      <c r="S432" s="21"/>
      <c r="T432" s="22"/>
    </row>
    <row r="433" spans="1:20" ht="13.2" x14ac:dyDescent="0.25">
      <c r="A433" s="17"/>
      <c r="B433" s="17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20"/>
      <c r="S433" s="21"/>
      <c r="T433" s="22"/>
    </row>
    <row r="434" spans="1:20" ht="13.2" x14ac:dyDescent="0.25">
      <c r="A434" s="17"/>
      <c r="B434" s="17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20"/>
      <c r="S434" s="21"/>
      <c r="T434" s="22"/>
    </row>
    <row r="435" spans="1:20" ht="13.2" x14ac:dyDescent="0.25">
      <c r="A435" s="17"/>
      <c r="B435" s="17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20"/>
      <c r="S435" s="21"/>
      <c r="T435" s="22"/>
    </row>
    <row r="436" spans="1:20" ht="13.2" x14ac:dyDescent="0.25">
      <c r="A436" s="17"/>
      <c r="B436" s="17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20"/>
      <c r="S436" s="21"/>
      <c r="T436" s="22"/>
    </row>
    <row r="437" spans="1:20" ht="13.2" x14ac:dyDescent="0.25">
      <c r="A437" s="17"/>
      <c r="B437" s="17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20"/>
      <c r="S437" s="21"/>
      <c r="T437" s="22"/>
    </row>
    <row r="438" spans="1:20" ht="13.2" x14ac:dyDescent="0.25">
      <c r="A438" s="17"/>
      <c r="B438" s="17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20"/>
      <c r="S438" s="21"/>
      <c r="T438" s="22"/>
    </row>
    <row r="439" spans="1:20" ht="13.2" x14ac:dyDescent="0.25">
      <c r="A439" s="17"/>
      <c r="B439" s="17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20"/>
      <c r="S439" s="21"/>
      <c r="T439" s="22"/>
    </row>
    <row r="440" spans="1:20" ht="13.2" x14ac:dyDescent="0.25">
      <c r="A440" s="17"/>
      <c r="B440" s="17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20"/>
      <c r="S440" s="21"/>
      <c r="T440" s="22"/>
    </row>
    <row r="441" spans="1:20" ht="13.2" x14ac:dyDescent="0.25">
      <c r="A441" s="17"/>
      <c r="B441" s="17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20"/>
      <c r="S441" s="21"/>
      <c r="T441" s="22"/>
    </row>
    <row r="442" spans="1:20" ht="13.2" x14ac:dyDescent="0.25">
      <c r="A442" s="17"/>
      <c r="B442" s="17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20"/>
      <c r="S442" s="21"/>
      <c r="T442" s="22"/>
    </row>
    <row r="443" spans="1:20" ht="13.2" x14ac:dyDescent="0.25">
      <c r="A443" s="17"/>
      <c r="B443" s="17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20"/>
      <c r="S443" s="21"/>
      <c r="T443" s="22"/>
    </row>
    <row r="444" spans="1:20" ht="13.2" x14ac:dyDescent="0.25">
      <c r="A444" s="17"/>
      <c r="B444" s="17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20"/>
      <c r="S444" s="21"/>
      <c r="T444" s="22"/>
    </row>
    <row r="445" spans="1:20" ht="13.2" x14ac:dyDescent="0.25">
      <c r="A445" s="17"/>
      <c r="B445" s="17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20"/>
      <c r="S445" s="21"/>
      <c r="T445" s="22"/>
    </row>
    <row r="446" spans="1:20" ht="13.2" x14ac:dyDescent="0.25">
      <c r="A446" s="17"/>
      <c r="B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20"/>
      <c r="S446" s="21"/>
      <c r="T446" s="22"/>
    </row>
    <row r="447" spans="1:20" ht="13.2" x14ac:dyDescent="0.25">
      <c r="A447" s="17"/>
      <c r="B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20"/>
      <c r="S447" s="21"/>
      <c r="T447" s="22"/>
    </row>
    <row r="448" spans="1:20" ht="13.2" x14ac:dyDescent="0.25">
      <c r="A448" s="17"/>
      <c r="B448" s="17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20"/>
      <c r="S448" s="21"/>
      <c r="T448" s="22"/>
    </row>
    <row r="449" spans="1:20" ht="13.2" x14ac:dyDescent="0.25">
      <c r="A449" s="17"/>
      <c r="B449" s="17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20"/>
      <c r="S449" s="21"/>
      <c r="T449" s="22"/>
    </row>
    <row r="450" spans="1:20" ht="13.2" x14ac:dyDescent="0.25">
      <c r="A450" s="17"/>
      <c r="B450" s="17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20"/>
      <c r="S450" s="21"/>
      <c r="T450" s="22"/>
    </row>
    <row r="451" spans="1:20" ht="13.2" x14ac:dyDescent="0.25">
      <c r="A451" s="17"/>
      <c r="B451" s="17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20"/>
      <c r="S451" s="21"/>
      <c r="T451" s="22"/>
    </row>
    <row r="452" spans="1:20" ht="13.2" x14ac:dyDescent="0.25">
      <c r="A452" s="17"/>
      <c r="B452" s="17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20"/>
      <c r="S452" s="21"/>
      <c r="T452" s="22"/>
    </row>
    <row r="453" spans="1:20" ht="13.2" x14ac:dyDescent="0.25">
      <c r="A453" s="17"/>
      <c r="B453" s="17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20"/>
      <c r="S453" s="21"/>
      <c r="T453" s="22"/>
    </row>
    <row r="454" spans="1:20" ht="13.2" x14ac:dyDescent="0.25">
      <c r="A454" s="17"/>
      <c r="B454" s="17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20"/>
      <c r="S454" s="21"/>
      <c r="T454" s="22"/>
    </row>
    <row r="455" spans="1:20" ht="13.2" x14ac:dyDescent="0.25">
      <c r="A455" s="17"/>
      <c r="B455" s="17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20"/>
      <c r="S455" s="21"/>
      <c r="T455" s="22"/>
    </row>
    <row r="456" spans="1:20" ht="13.2" x14ac:dyDescent="0.25">
      <c r="A456" s="17"/>
      <c r="B456" s="17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20"/>
      <c r="S456" s="21"/>
      <c r="T456" s="22"/>
    </row>
    <row r="457" spans="1:20" ht="13.2" x14ac:dyDescent="0.25">
      <c r="A457" s="17"/>
      <c r="B457" s="17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20"/>
      <c r="S457" s="21"/>
      <c r="T457" s="22"/>
    </row>
    <row r="458" spans="1:20" ht="13.2" x14ac:dyDescent="0.25">
      <c r="A458" s="17"/>
      <c r="B458" s="17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20"/>
      <c r="S458" s="21"/>
      <c r="T458" s="22"/>
    </row>
    <row r="459" spans="1:20" ht="13.2" x14ac:dyDescent="0.25">
      <c r="A459" s="17"/>
      <c r="B459" s="17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20"/>
      <c r="S459" s="21"/>
      <c r="T459" s="22"/>
    </row>
    <row r="460" spans="1:20" ht="13.2" x14ac:dyDescent="0.25">
      <c r="A460" s="17"/>
      <c r="B460" s="17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20"/>
      <c r="S460" s="21"/>
      <c r="T460" s="22"/>
    </row>
    <row r="461" spans="1:20" ht="13.2" x14ac:dyDescent="0.25">
      <c r="A461" s="17"/>
      <c r="B461" s="17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20"/>
      <c r="S461" s="21"/>
      <c r="T461" s="22"/>
    </row>
    <row r="462" spans="1:20" ht="13.2" x14ac:dyDescent="0.25">
      <c r="A462" s="17"/>
      <c r="B462" s="17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20"/>
      <c r="S462" s="21"/>
      <c r="T462" s="22"/>
    </row>
    <row r="463" spans="1:20" ht="13.2" x14ac:dyDescent="0.25">
      <c r="A463" s="17"/>
      <c r="B463" s="17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20"/>
      <c r="S463" s="21"/>
      <c r="T463" s="22"/>
    </row>
    <row r="464" spans="1:20" ht="13.2" x14ac:dyDescent="0.25">
      <c r="A464" s="17"/>
      <c r="B464" s="17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20"/>
      <c r="S464" s="21"/>
      <c r="T464" s="22"/>
    </row>
    <row r="465" spans="1:20" ht="13.2" x14ac:dyDescent="0.25">
      <c r="A465" s="17"/>
      <c r="B465" s="17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20"/>
      <c r="S465" s="21"/>
      <c r="T465" s="22"/>
    </row>
    <row r="466" spans="1:20" ht="13.2" x14ac:dyDescent="0.25">
      <c r="A466" s="17"/>
      <c r="B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20"/>
      <c r="S466" s="21"/>
      <c r="T466" s="22"/>
    </row>
    <row r="467" spans="1:20" ht="13.2" x14ac:dyDescent="0.25">
      <c r="A467" s="17"/>
      <c r="B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20"/>
      <c r="S467" s="21"/>
      <c r="T467" s="22"/>
    </row>
    <row r="468" spans="1:20" ht="13.2" x14ac:dyDescent="0.25">
      <c r="A468" s="17"/>
      <c r="B468" s="17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20"/>
      <c r="S468" s="21"/>
      <c r="T468" s="22"/>
    </row>
    <row r="469" spans="1:20" ht="13.2" x14ac:dyDescent="0.25">
      <c r="A469" s="17"/>
      <c r="B469" s="17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20"/>
      <c r="S469" s="21"/>
      <c r="T469" s="22"/>
    </row>
    <row r="470" spans="1:20" ht="13.2" x14ac:dyDescent="0.25">
      <c r="A470" s="17"/>
      <c r="B470" s="17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20"/>
      <c r="S470" s="21"/>
      <c r="T470" s="22"/>
    </row>
    <row r="471" spans="1:20" ht="13.2" x14ac:dyDescent="0.25">
      <c r="A471" s="17"/>
      <c r="B471" s="17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20"/>
      <c r="S471" s="21"/>
      <c r="T471" s="22"/>
    </row>
    <row r="472" spans="1:20" ht="13.2" x14ac:dyDescent="0.25">
      <c r="A472" s="17"/>
      <c r="B472" s="17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20"/>
      <c r="S472" s="21"/>
      <c r="T472" s="22"/>
    </row>
    <row r="473" spans="1:20" ht="13.2" x14ac:dyDescent="0.25">
      <c r="A473" s="17"/>
      <c r="B473" s="17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20"/>
      <c r="S473" s="21"/>
      <c r="T473" s="22"/>
    </row>
    <row r="474" spans="1:20" ht="13.2" x14ac:dyDescent="0.25">
      <c r="A474" s="17"/>
      <c r="B474" s="17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20"/>
      <c r="S474" s="21"/>
      <c r="T474" s="22"/>
    </row>
    <row r="475" spans="1:20" ht="13.2" x14ac:dyDescent="0.25">
      <c r="A475" s="17"/>
      <c r="B475" s="17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20"/>
      <c r="S475" s="21"/>
      <c r="T475" s="22"/>
    </row>
    <row r="476" spans="1:20" ht="13.2" x14ac:dyDescent="0.25">
      <c r="A476" s="17"/>
      <c r="B476" s="17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20"/>
      <c r="S476" s="21"/>
      <c r="T476" s="22"/>
    </row>
    <row r="477" spans="1:20" ht="13.2" x14ac:dyDescent="0.25">
      <c r="A477" s="17"/>
      <c r="B477" s="17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20"/>
      <c r="S477" s="21"/>
      <c r="T477" s="22"/>
    </row>
    <row r="478" spans="1:20" ht="13.2" x14ac:dyDescent="0.25">
      <c r="A478" s="17"/>
      <c r="B478" s="17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20"/>
      <c r="S478" s="21"/>
      <c r="T478" s="22"/>
    </row>
    <row r="479" spans="1:20" ht="13.2" x14ac:dyDescent="0.25">
      <c r="A479" s="17"/>
      <c r="B479" s="17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20"/>
      <c r="S479" s="21"/>
      <c r="T479" s="22"/>
    </row>
    <row r="480" spans="1:20" ht="13.2" x14ac:dyDescent="0.25">
      <c r="A480" s="17"/>
      <c r="B480" s="17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20"/>
      <c r="S480" s="21"/>
      <c r="T480" s="22"/>
    </row>
    <row r="481" spans="1:20" ht="13.2" x14ac:dyDescent="0.25">
      <c r="A481" s="17"/>
      <c r="B481" s="17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20"/>
      <c r="S481" s="21"/>
      <c r="T481" s="22"/>
    </row>
    <row r="482" spans="1:20" ht="13.2" x14ac:dyDescent="0.25">
      <c r="A482" s="17"/>
      <c r="B482" s="17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20"/>
      <c r="S482" s="21"/>
      <c r="T482" s="22"/>
    </row>
    <row r="483" spans="1:20" ht="13.2" x14ac:dyDescent="0.25">
      <c r="A483" s="17"/>
      <c r="B483" s="17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20"/>
      <c r="S483" s="21"/>
      <c r="T483" s="22"/>
    </row>
    <row r="484" spans="1:20" ht="13.2" x14ac:dyDescent="0.25">
      <c r="A484" s="17"/>
      <c r="B484" s="17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20"/>
      <c r="S484" s="21"/>
      <c r="T484" s="22"/>
    </row>
    <row r="485" spans="1:20" ht="13.2" x14ac:dyDescent="0.25">
      <c r="A485" s="17"/>
      <c r="B485" s="17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20"/>
      <c r="S485" s="21"/>
      <c r="T485" s="22"/>
    </row>
    <row r="486" spans="1:20" ht="13.2" x14ac:dyDescent="0.25">
      <c r="A486" s="17"/>
      <c r="B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20"/>
      <c r="S486" s="21"/>
      <c r="T486" s="22"/>
    </row>
    <row r="487" spans="1:20" ht="13.2" x14ac:dyDescent="0.25">
      <c r="A487" s="17"/>
      <c r="B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20"/>
      <c r="S487" s="21"/>
      <c r="T487" s="22"/>
    </row>
    <row r="488" spans="1:20" ht="13.2" x14ac:dyDescent="0.25">
      <c r="A488" s="17"/>
      <c r="B488" s="17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20"/>
      <c r="S488" s="21"/>
      <c r="T488" s="22"/>
    </row>
    <row r="489" spans="1:20" ht="13.2" x14ac:dyDescent="0.25">
      <c r="A489" s="17"/>
      <c r="B489" s="17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20"/>
      <c r="S489" s="21"/>
      <c r="T489" s="22"/>
    </row>
    <row r="490" spans="1:20" ht="13.2" x14ac:dyDescent="0.25">
      <c r="A490" s="17"/>
      <c r="B490" s="17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20"/>
      <c r="S490" s="21"/>
      <c r="T490" s="22"/>
    </row>
    <row r="491" spans="1:20" ht="13.2" x14ac:dyDescent="0.25">
      <c r="A491" s="17"/>
      <c r="B491" s="17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20"/>
      <c r="S491" s="21"/>
      <c r="T491" s="22"/>
    </row>
    <row r="492" spans="1:20" ht="13.2" x14ac:dyDescent="0.25">
      <c r="A492" s="17"/>
      <c r="B492" s="17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20"/>
      <c r="S492" s="21"/>
      <c r="T492" s="22"/>
    </row>
    <row r="493" spans="1:20" ht="13.2" x14ac:dyDescent="0.25">
      <c r="A493" s="17"/>
      <c r="B493" s="17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20"/>
      <c r="S493" s="21"/>
      <c r="T493" s="22"/>
    </row>
    <row r="494" spans="1:20" ht="13.2" x14ac:dyDescent="0.25">
      <c r="A494" s="17"/>
      <c r="B494" s="17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20"/>
      <c r="S494" s="21"/>
      <c r="T494" s="22"/>
    </row>
    <row r="495" spans="1:20" ht="13.2" x14ac:dyDescent="0.25">
      <c r="A495" s="17"/>
      <c r="B495" s="17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20"/>
      <c r="S495" s="21"/>
      <c r="T495" s="22"/>
    </row>
    <row r="496" spans="1:20" ht="13.2" x14ac:dyDescent="0.25">
      <c r="A496" s="17"/>
      <c r="B496" s="17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20"/>
      <c r="S496" s="21"/>
      <c r="T496" s="22"/>
    </row>
    <row r="497" spans="1:20" ht="13.2" x14ac:dyDescent="0.25">
      <c r="A497" s="17"/>
      <c r="B497" s="17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20"/>
      <c r="S497" s="21"/>
      <c r="T497" s="22"/>
    </row>
    <row r="498" spans="1:20" ht="13.2" x14ac:dyDescent="0.25">
      <c r="A498" s="17"/>
      <c r="B498" s="17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20"/>
      <c r="S498" s="21"/>
      <c r="T498" s="22"/>
    </row>
    <row r="499" spans="1:20" ht="13.2" x14ac:dyDescent="0.25">
      <c r="A499" s="17"/>
      <c r="B499" s="17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20"/>
      <c r="S499" s="21"/>
      <c r="T499" s="22"/>
    </row>
    <row r="500" spans="1:20" ht="13.2" x14ac:dyDescent="0.25">
      <c r="A500" s="17"/>
      <c r="B500" s="17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20"/>
      <c r="S500" s="21"/>
      <c r="T500" s="22"/>
    </row>
    <row r="501" spans="1:20" ht="13.2" x14ac:dyDescent="0.25">
      <c r="A501" s="17"/>
      <c r="B501" s="17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20"/>
      <c r="S501" s="21"/>
      <c r="T501" s="22"/>
    </row>
    <row r="502" spans="1:20" ht="13.2" x14ac:dyDescent="0.25">
      <c r="A502" s="17"/>
      <c r="B502" s="17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20"/>
      <c r="S502" s="21"/>
      <c r="T502" s="22"/>
    </row>
    <row r="503" spans="1:20" ht="13.2" x14ac:dyDescent="0.25">
      <c r="A503" s="17"/>
      <c r="B503" s="17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20"/>
      <c r="S503" s="21"/>
      <c r="T503" s="22"/>
    </row>
    <row r="504" spans="1:20" ht="13.2" x14ac:dyDescent="0.25">
      <c r="A504" s="17"/>
      <c r="B504" s="17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20"/>
      <c r="S504" s="21"/>
      <c r="T504" s="22"/>
    </row>
    <row r="505" spans="1:20" ht="13.2" x14ac:dyDescent="0.25">
      <c r="A505" s="17"/>
      <c r="B505" s="17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20"/>
      <c r="S505" s="21"/>
      <c r="T505" s="22"/>
    </row>
    <row r="506" spans="1:20" ht="13.2" x14ac:dyDescent="0.25">
      <c r="A506" s="17"/>
      <c r="B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20"/>
      <c r="S506" s="21"/>
      <c r="T506" s="22"/>
    </row>
    <row r="507" spans="1:20" ht="13.2" x14ac:dyDescent="0.25">
      <c r="A507" s="17"/>
      <c r="B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20"/>
      <c r="S507" s="21"/>
      <c r="T507" s="22"/>
    </row>
    <row r="508" spans="1:20" ht="13.2" x14ac:dyDescent="0.25">
      <c r="A508" s="17"/>
      <c r="B508" s="17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20"/>
      <c r="S508" s="21"/>
      <c r="T508" s="22"/>
    </row>
    <row r="509" spans="1:20" ht="13.2" x14ac:dyDescent="0.25">
      <c r="A509" s="17"/>
      <c r="B509" s="17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20"/>
      <c r="S509" s="21"/>
      <c r="T509" s="22"/>
    </row>
    <row r="510" spans="1:20" ht="13.2" x14ac:dyDescent="0.25">
      <c r="A510" s="17"/>
      <c r="B510" s="17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20"/>
      <c r="S510" s="21"/>
      <c r="T510" s="22"/>
    </row>
    <row r="511" spans="1:20" ht="13.2" x14ac:dyDescent="0.25">
      <c r="A511" s="17"/>
      <c r="B511" s="17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20"/>
      <c r="S511" s="21"/>
      <c r="T511" s="22"/>
    </row>
    <row r="512" spans="1:20" ht="13.2" x14ac:dyDescent="0.25">
      <c r="A512" s="17"/>
      <c r="B512" s="17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20"/>
      <c r="S512" s="21"/>
      <c r="T512" s="22"/>
    </row>
    <row r="513" spans="1:20" ht="13.2" x14ac:dyDescent="0.25">
      <c r="A513" s="17"/>
      <c r="B513" s="17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20"/>
      <c r="S513" s="21"/>
      <c r="T513" s="22"/>
    </row>
    <row r="514" spans="1:20" ht="13.2" x14ac:dyDescent="0.25">
      <c r="A514" s="17"/>
      <c r="B514" s="17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20"/>
      <c r="S514" s="21"/>
      <c r="T514" s="22"/>
    </row>
    <row r="515" spans="1:20" ht="13.2" x14ac:dyDescent="0.25">
      <c r="A515" s="17"/>
      <c r="B515" s="17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20"/>
      <c r="S515" s="21"/>
      <c r="T515" s="22"/>
    </row>
    <row r="516" spans="1:20" ht="13.2" x14ac:dyDescent="0.25">
      <c r="A516" s="17"/>
      <c r="B516" s="17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20"/>
      <c r="S516" s="21"/>
      <c r="T516" s="22"/>
    </row>
    <row r="517" spans="1:20" ht="13.2" x14ac:dyDescent="0.25">
      <c r="A517" s="17"/>
      <c r="B517" s="17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20"/>
      <c r="S517" s="21"/>
      <c r="T517" s="22"/>
    </row>
    <row r="518" spans="1:20" ht="13.2" x14ac:dyDescent="0.25">
      <c r="A518" s="17"/>
      <c r="B518" s="17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20"/>
      <c r="S518" s="21"/>
      <c r="T518" s="22"/>
    </row>
    <row r="519" spans="1:20" ht="13.2" x14ac:dyDescent="0.25">
      <c r="A519" s="17"/>
      <c r="B519" s="17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20"/>
      <c r="S519" s="21"/>
      <c r="T519" s="22"/>
    </row>
    <row r="520" spans="1:20" ht="13.2" x14ac:dyDescent="0.25">
      <c r="A520" s="17"/>
      <c r="B520" s="17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20"/>
      <c r="S520" s="21"/>
      <c r="T520" s="22"/>
    </row>
    <row r="521" spans="1:20" ht="13.2" x14ac:dyDescent="0.25">
      <c r="A521" s="17"/>
      <c r="B521" s="17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20"/>
      <c r="S521" s="21"/>
      <c r="T521" s="22"/>
    </row>
    <row r="522" spans="1:20" ht="13.2" x14ac:dyDescent="0.25">
      <c r="A522" s="17"/>
      <c r="B522" s="17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20"/>
      <c r="S522" s="21"/>
      <c r="T522" s="22"/>
    </row>
    <row r="523" spans="1:20" ht="13.2" x14ac:dyDescent="0.25">
      <c r="A523" s="17"/>
      <c r="B523" s="17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20"/>
      <c r="S523" s="21"/>
      <c r="T523" s="22"/>
    </row>
    <row r="524" spans="1:20" ht="13.2" x14ac:dyDescent="0.25">
      <c r="A524" s="17"/>
      <c r="B524" s="17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20"/>
      <c r="S524" s="21"/>
      <c r="T524" s="22"/>
    </row>
    <row r="525" spans="1:20" ht="13.2" x14ac:dyDescent="0.25">
      <c r="A525" s="17"/>
      <c r="B525" s="17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20"/>
      <c r="S525" s="21"/>
      <c r="T525" s="22"/>
    </row>
    <row r="526" spans="1:20" ht="13.2" x14ac:dyDescent="0.25">
      <c r="A526" s="17"/>
      <c r="B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20"/>
      <c r="S526" s="21"/>
      <c r="T526" s="22"/>
    </row>
    <row r="527" spans="1:20" ht="13.2" x14ac:dyDescent="0.25">
      <c r="A527" s="17"/>
      <c r="B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20"/>
      <c r="S527" s="21"/>
      <c r="T527" s="22"/>
    </row>
    <row r="528" spans="1:20" ht="13.2" x14ac:dyDescent="0.25">
      <c r="A528" s="17"/>
      <c r="B528" s="17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20"/>
      <c r="S528" s="21"/>
      <c r="T528" s="22"/>
    </row>
    <row r="529" spans="1:20" ht="13.2" x14ac:dyDescent="0.25">
      <c r="A529" s="17"/>
      <c r="B529" s="17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20"/>
      <c r="S529" s="21"/>
      <c r="T529" s="22"/>
    </row>
    <row r="530" spans="1:20" ht="13.2" x14ac:dyDescent="0.25">
      <c r="A530" s="17"/>
      <c r="B530" s="17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20"/>
      <c r="S530" s="21"/>
      <c r="T530" s="22"/>
    </row>
    <row r="531" spans="1:20" ht="13.2" x14ac:dyDescent="0.25">
      <c r="A531" s="17"/>
      <c r="B531" s="17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20"/>
      <c r="S531" s="21"/>
      <c r="T531" s="22"/>
    </row>
    <row r="532" spans="1:20" ht="13.2" x14ac:dyDescent="0.25">
      <c r="A532" s="17"/>
      <c r="B532" s="17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20"/>
      <c r="S532" s="21"/>
      <c r="T532" s="22"/>
    </row>
    <row r="533" spans="1:20" ht="13.2" x14ac:dyDescent="0.25">
      <c r="A533" s="17"/>
      <c r="B533" s="17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20"/>
      <c r="S533" s="21"/>
      <c r="T533" s="22"/>
    </row>
    <row r="534" spans="1:20" ht="13.2" x14ac:dyDescent="0.25">
      <c r="A534" s="17"/>
      <c r="B534" s="17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20"/>
      <c r="S534" s="21"/>
      <c r="T534" s="22"/>
    </row>
    <row r="535" spans="1:20" ht="13.2" x14ac:dyDescent="0.25">
      <c r="A535" s="17"/>
      <c r="B535" s="17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20"/>
      <c r="S535" s="21"/>
      <c r="T535" s="22"/>
    </row>
    <row r="536" spans="1:20" ht="13.2" x14ac:dyDescent="0.25">
      <c r="A536" s="17"/>
      <c r="B536" s="17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20"/>
      <c r="S536" s="21"/>
      <c r="T536" s="22"/>
    </row>
    <row r="537" spans="1:20" ht="13.2" x14ac:dyDescent="0.25">
      <c r="A537" s="17"/>
      <c r="B537" s="17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20"/>
      <c r="S537" s="21"/>
      <c r="T537" s="22"/>
    </row>
    <row r="538" spans="1:20" ht="13.2" x14ac:dyDescent="0.25">
      <c r="A538" s="17"/>
      <c r="B538" s="17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20"/>
      <c r="S538" s="21"/>
      <c r="T538" s="22"/>
    </row>
    <row r="539" spans="1:20" ht="13.2" x14ac:dyDescent="0.25">
      <c r="A539" s="17"/>
      <c r="B539" s="17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20"/>
      <c r="S539" s="21"/>
      <c r="T539" s="22"/>
    </row>
    <row r="540" spans="1:20" ht="13.2" x14ac:dyDescent="0.25">
      <c r="A540" s="17"/>
      <c r="B540" s="17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20"/>
      <c r="S540" s="21"/>
      <c r="T540" s="22"/>
    </row>
    <row r="541" spans="1:20" ht="13.2" x14ac:dyDescent="0.25">
      <c r="A541" s="17"/>
      <c r="B541" s="17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20"/>
      <c r="S541" s="21"/>
      <c r="T541" s="22"/>
    </row>
    <row r="542" spans="1:20" ht="13.2" x14ac:dyDescent="0.25">
      <c r="A542" s="17"/>
      <c r="B542" s="17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20"/>
      <c r="S542" s="21"/>
      <c r="T542" s="22"/>
    </row>
    <row r="543" spans="1:20" ht="13.2" x14ac:dyDescent="0.25">
      <c r="A543" s="17"/>
      <c r="B543" s="17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20"/>
      <c r="S543" s="21"/>
      <c r="T543" s="22"/>
    </row>
    <row r="544" spans="1:20" ht="13.2" x14ac:dyDescent="0.25">
      <c r="A544" s="17"/>
      <c r="B544" s="17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20"/>
      <c r="S544" s="21"/>
      <c r="T544" s="22"/>
    </row>
    <row r="545" spans="1:20" ht="13.2" x14ac:dyDescent="0.25">
      <c r="A545" s="17"/>
      <c r="B545" s="17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20"/>
      <c r="S545" s="21"/>
      <c r="T545" s="22"/>
    </row>
    <row r="546" spans="1:20" ht="13.2" x14ac:dyDescent="0.25">
      <c r="A546" s="17"/>
      <c r="B546" s="17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20"/>
      <c r="S546" s="21"/>
      <c r="T546" s="22"/>
    </row>
    <row r="547" spans="1:20" ht="13.2" x14ac:dyDescent="0.25">
      <c r="A547" s="17"/>
      <c r="B547" s="17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20"/>
      <c r="S547" s="21"/>
      <c r="T547" s="22"/>
    </row>
    <row r="548" spans="1:20" ht="13.2" x14ac:dyDescent="0.25">
      <c r="A548" s="17"/>
      <c r="B548" s="17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20"/>
      <c r="S548" s="21"/>
      <c r="T548" s="22"/>
    </row>
    <row r="549" spans="1:20" ht="13.2" x14ac:dyDescent="0.25">
      <c r="A549" s="17"/>
      <c r="B549" s="17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20"/>
      <c r="S549" s="21"/>
      <c r="T549" s="22"/>
    </row>
    <row r="550" spans="1:20" ht="13.2" x14ac:dyDescent="0.25">
      <c r="A550" s="17"/>
      <c r="B550" s="17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20"/>
      <c r="S550" s="21"/>
      <c r="T550" s="22"/>
    </row>
    <row r="551" spans="1:20" ht="13.2" x14ac:dyDescent="0.25">
      <c r="A551" s="17"/>
      <c r="B551" s="17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20"/>
      <c r="S551" s="21"/>
      <c r="T551" s="22"/>
    </row>
    <row r="552" spans="1:20" ht="13.2" x14ac:dyDescent="0.25">
      <c r="A552" s="17"/>
      <c r="B552" s="17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20"/>
      <c r="S552" s="21"/>
      <c r="T552" s="22"/>
    </row>
    <row r="553" spans="1:20" ht="13.2" x14ac:dyDescent="0.25">
      <c r="A553" s="17"/>
      <c r="B553" s="17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20"/>
      <c r="S553" s="21"/>
      <c r="T553" s="22"/>
    </row>
    <row r="554" spans="1:20" ht="13.2" x14ac:dyDescent="0.25">
      <c r="A554" s="17"/>
      <c r="B554" s="17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20"/>
      <c r="S554" s="21"/>
      <c r="T554" s="22"/>
    </row>
    <row r="555" spans="1:20" ht="13.2" x14ac:dyDescent="0.25">
      <c r="A555" s="17"/>
      <c r="B555" s="17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20"/>
      <c r="S555" s="21"/>
      <c r="T555" s="22"/>
    </row>
    <row r="556" spans="1:20" ht="13.2" x14ac:dyDescent="0.25">
      <c r="A556" s="17"/>
      <c r="B556" s="17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20"/>
      <c r="S556" s="21"/>
      <c r="T556" s="22"/>
    </row>
    <row r="557" spans="1:20" ht="13.2" x14ac:dyDescent="0.25">
      <c r="A557" s="17"/>
      <c r="B557" s="17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20"/>
      <c r="S557" s="21"/>
      <c r="T557" s="22"/>
    </row>
    <row r="558" spans="1:20" ht="13.2" x14ac:dyDescent="0.25">
      <c r="A558" s="17"/>
      <c r="B558" s="17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20"/>
      <c r="S558" s="21"/>
      <c r="T558" s="22"/>
    </row>
    <row r="559" spans="1:20" ht="13.2" x14ac:dyDescent="0.25">
      <c r="A559" s="17"/>
      <c r="B559" s="17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20"/>
      <c r="S559" s="21"/>
      <c r="T559" s="22"/>
    </row>
    <row r="560" spans="1:20" ht="13.2" x14ac:dyDescent="0.25">
      <c r="A560" s="17"/>
      <c r="B560" s="17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20"/>
      <c r="S560" s="21"/>
      <c r="T560" s="22"/>
    </row>
    <row r="561" spans="1:20" ht="13.2" x14ac:dyDescent="0.25">
      <c r="A561" s="17"/>
      <c r="B561" s="17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20"/>
      <c r="S561" s="21"/>
      <c r="T561" s="22"/>
    </row>
    <row r="562" spans="1:20" ht="13.2" x14ac:dyDescent="0.25">
      <c r="A562" s="17"/>
      <c r="B562" s="17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20"/>
      <c r="S562" s="21"/>
      <c r="T562" s="22"/>
    </row>
    <row r="563" spans="1:20" ht="13.2" x14ac:dyDescent="0.25">
      <c r="A563" s="17"/>
      <c r="B563" s="17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20"/>
      <c r="S563" s="21"/>
      <c r="T563" s="22"/>
    </row>
    <row r="564" spans="1:20" ht="13.2" x14ac:dyDescent="0.25">
      <c r="A564" s="17"/>
      <c r="B564" s="17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20"/>
      <c r="S564" s="21"/>
      <c r="T564" s="22"/>
    </row>
    <row r="565" spans="1:20" ht="13.2" x14ac:dyDescent="0.25">
      <c r="A565" s="17"/>
      <c r="B565" s="17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20"/>
      <c r="S565" s="21"/>
      <c r="T565" s="22"/>
    </row>
    <row r="566" spans="1:20" ht="13.2" x14ac:dyDescent="0.25">
      <c r="A566" s="17"/>
      <c r="B566" s="17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20"/>
      <c r="S566" s="21"/>
      <c r="T566" s="22"/>
    </row>
    <row r="567" spans="1:20" ht="13.2" x14ac:dyDescent="0.25">
      <c r="A567" s="17"/>
      <c r="B567" s="17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20"/>
      <c r="S567" s="21"/>
      <c r="T567" s="22"/>
    </row>
    <row r="568" spans="1:20" ht="13.2" x14ac:dyDescent="0.25">
      <c r="A568" s="17"/>
      <c r="B568" s="17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20"/>
      <c r="S568" s="21"/>
      <c r="T568" s="22"/>
    </row>
    <row r="569" spans="1:20" ht="13.2" x14ac:dyDescent="0.25">
      <c r="A569" s="17"/>
      <c r="B569" s="17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20"/>
      <c r="S569" s="21"/>
      <c r="T569" s="22"/>
    </row>
    <row r="570" spans="1:20" ht="13.2" x14ac:dyDescent="0.25">
      <c r="A570" s="17"/>
      <c r="B570" s="17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20"/>
      <c r="S570" s="21"/>
      <c r="T570" s="22"/>
    </row>
    <row r="571" spans="1:20" ht="13.2" x14ac:dyDescent="0.25">
      <c r="A571" s="17"/>
      <c r="B571" s="17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20"/>
      <c r="S571" s="21"/>
      <c r="T571" s="22"/>
    </row>
    <row r="572" spans="1:20" ht="13.2" x14ac:dyDescent="0.25">
      <c r="A572" s="17"/>
      <c r="B572" s="17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20"/>
      <c r="S572" s="21"/>
      <c r="T572" s="22"/>
    </row>
    <row r="573" spans="1:20" ht="13.2" x14ac:dyDescent="0.25">
      <c r="A573" s="17"/>
      <c r="B573" s="17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20"/>
      <c r="S573" s="21"/>
      <c r="T573" s="22"/>
    </row>
    <row r="574" spans="1:20" ht="13.2" x14ac:dyDescent="0.25">
      <c r="A574" s="17"/>
      <c r="B574" s="17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20"/>
      <c r="S574" s="21"/>
      <c r="T574" s="22"/>
    </row>
    <row r="575" spans="1:20" ht="13.2" x14ac:dyDescent="0.25">
      <c r="A575" s="17"/>
      <c r="B575" s="17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20"/>
      <c r="S575" s="21"/>
      <c r="T575" s="22"/>
    </row>
    <row r="576" spans="1:20" ht="13.2" x14ac:dyDescent="0.25">
      <c r="A576" s="17"/>
      <c r="B576" s="17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20"/>
      <c r="S576" s="21"/>
      <c r="T576" s="22"/>
    </row>
    <row r="577" spans="1:20" ht="13.2" x14ac:dyDescent="0.25">
      <c r="A577" s="17"/>
      <c r="B577" s="17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20"/>
      <c r="S577" s="21"/>
      <c r="T577" s="22"/>
    </row>
    <row r="578" spans="1:20" ht="13.2" x14ac:dyDescent="0.25">
      <c r="A578" s="17"/>
      <c r="B578" s="17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20"/>
      <c r="S578" s="21"/>
      <c r="T578" s="22"/>
    </row>
    <row r="579" spans="1:20" ht="13.2" x14ac:dyDescent="0.25">
      <c r="A579" s="17"/>
      <c r="B579" s="17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20"/>
      <c r="S579" s="21"/>
      <c r="T579" s="22"/>
    </row>
    <row r="580" spans="1:20" ht="13.2" x14ac:dyDescent="0.25">
      <c r="A580" s="17"/>
      <c r="B580" s="17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20"/>
      <c r="S580" s="21"/>
      <c r="T580" s="22"/>
    </row>
    <row r="581" spans="1:20" ht="13.2" x14ac:dyDescent="0.25">
      <c r="A581" s="17"/>
      <c r="B581" s="17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20"/>
      <c r="S581" s="21"/>
      <c r="T581" s="22"/>
    </row>
    <row r="582" spans="1:20" ht="13.2" x14ac:dyDescent="0.25">
      <c r="A582" s="17"/>
      <c r="B582" s="17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20"/>
      <c r="S582" s="21"/>
      <c r="T582" s="22"/>
    </row>
    <row r="583" spans="1:20" ht="13.2" x14ac:dyDescent="0.25">
      <c r="A583" s="17"/>
      <c r="B583" s="17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20"/>
      <c r="S583" s="21"/>
      <c r="T583" s="22"/>
    </row>
    <row r="584" spans="1:20" ht="13.2" x14ac:dyDescent="0.25">
      <c r="A584" s="17"/>
      <c r="B584" s="17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20"/>
      <c r="S584" s="21"/>
      <c r="T584" s="22"/>
    </row>
    <row r="585" spans="1:20" ht="13.2" x14ac:dyDescent="0.25">
      <c r="A585" s="17"/>
      <c r="B585" s="17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20"/>
      <c r="S585" s="21"/>
      <c r="T585" s="22"/>
    </row>
    <row r="586" spans="1:20" ht="13.2" x14ac:dyDescent="0.25">
      <c r="A586" s="17"/>
      <c r="B586" s="17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20"/>
      <c r="S586" s="21"/>
      <c r="T586" s="22"/>
    </row>
    <row r="587" spans="1:20" ht="13.2" x14ac:dyDescent="0.25">
      <c r="A587" s="17"/>
      <c r="B587" s="17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20"/>
      <c r="S587" s="21"/>
      <c r="T587" s="22"/>
    </row>
    <row r="588" spans="1:20" ht="13.2" x14ac:dyDescent="0.25">
      <c r="A588" s="17"/>
      <c r="B588" s="17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20"/>
      <c r="S588" s="21"/>
      <c r="T588" s="22"/>
    </row>
    <row r="589" spans="1:20" ht="13.2" x14ac:dyDescent="0.25">
      <c r="A589" s="17"/>
      <c r="B589" s="17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20"/>
      <c r="S589" s="21"/>
      <c r="T589" s="22"/>
    </row>
    <row r="590" spans="1:20" ht="13.2" x14ac:dyDescent="0.25">
      <c r="A590" s="17"/>
      <c r="B590" s="17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20"/>
      <c r="S590" s="21"/>
      <c r="T590" s="22"/>
    </row>
    <row r="591" spans="1:20" ht="13.2" x14ac:dyDescent="0.25">
      <c r="A591" s="17"/>
      <c r="B591" s="17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20"/>
      <c r="S591" s="21"/>
      <c r="T591" s="22"/>
    </row>
    <row r="592" spans="1:20" ht="13.2" x14ac:dyDescent="0.25">
      <c r="A592" s="17"/>
      <c r="B592" s="17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20"/>
      <c r="S592" s="21"/>
      <c r="T592" s="22"/>
    </row>
    <row r="593" spans="1:20" ht="13.2" x14ac:dyDescent="0.25">
      <c r="A593" s="17"/>
      <c r="B593" s="17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20"/>
      <c r="S593" s="21"/>
      <c r="T593" s="22"/>
    </row>
    <row r="594" spans="1:20" ht="13.2" x14ac:dyDescent="0.25">
      <c r="A594" s="17"/>
      <c r="B594" s="17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20"/>
      <c r="S594" s="21"/>
      <c r="T594" s="22"/>
    </row>
    <row r="595" spans="1:20" ht="13.2" x14ac:dyDescent="0.25">
      <c r="A595" s="17"/>
      <c r="B595" s="17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20"/>
      <c r="S595" s="21"/>
      <c r="T595" s="22"/>
    </row>
    <row r="596" spans="1:20" ht="13.2" x14ac:dyDescent="0.25">
      <c r="A596" s="17"/>
      <c r="B596" s="17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20"/>
      <c r="S596" s="21"/>
      <c r="T596" s="22"/>
    </row>
    <row r="597" spans="1:20" ht="13.2" x14ac:dyDescent="0.25">
      <c r="A597" s="17"/>
      <c r="B597" s="17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20"/>
      <c r="S597" s="21"/>
      <c r="T597" s="22"/>
    </row>
    <row r="598" spans="1:20" ht="13.2" x14ac:dyDescent="0.25">
      <c r="A598" s="17"/>
      <c r="B598" s="17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20"/>
      <c r="S598" s="21"/>
      <c r="T598" s="22"/>
    </row>
    <row r="599" spans="1:20" ht="13.2" x14ac:dyDescent="0.25">
      <c r="A599" s="17"/>
      <c r="B599" s="17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20"/>
      <c r="S599" s="21"/>
      <c r="T599" s="22"/>
    </row>
    <row r="600" spans="1:20" ht="13.2" x14ac:dyDescent="0.25">
      <c r="A600" s="17"/>
      <c r="B600" s="17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20"/>
      <c r="S600" s="21"/>
      <c r="T600" s="22"/>
    </row>
    <row r="601" spans="1:20" ht="13.2" x14ac:dyDescent="0.25">
      <c r="A601" s="17"/>
      <c r="B601" s="17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20"/>
      <c r="S601" s="21"/>
      <c r="T601" s="22"/>
    </row>
    <row r="602" spans="1:20" ht="13.2" x14ac:dyDescent="0.25">
      <c r="A602" s="17"/>
      <c r="B602" s="17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20"/>
      <c r="S602" s="21"/>
      <c r="T602" s="22"/>
    </row>
    <row r="603" spans="1:20" ht="13.2" x14ac:dyDescent="0.25">
      <c r="A603" s="17"/>
      <c r="B603" s="17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20"/>
      <c r="S603" s="21"/>
      <c r="T603" s="22"/>
    </row>
    <row r="604" spans="1:20" ht="13.2" x14ac:dyDescent="0.25">
      <c r="A604" s="17"/>
      <c r="B604" s="17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20"/>
      <c r="S604" s="21"/>
      <c r="T604" s="22"/>
    </row>
    <row r="605" spans="1:20" ht="13.2" x14ac:dyDescent="0.25">
      <c r="A605" s="17"/>
      <c r="B605" s="17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20"/>
      <c r="S605" s="21"/>
      <c r="T605" s="22"/>
    </row>
    <row r="606" spans="1:20" ht="13.2" x14ac:dyDescent="0.25">
      <c r="A606" s="17"/>
      <c r="B606" s="17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20"/>
      <c r="S606" s="21"/>
      <c r="T606" s="22"/>
    </row>
    <row r="607" spans="1:20" ht="13.2" x14ac:dyDescent="0.25">
      <c r="A607" s="17"/>
      <c r="B607" s="17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20"/>
      <c r="S607" s="21"/>
      <c r="T607" s="22"/>
    </row>
    <row r="608" spans="1:20" ht="13.2" x14ac:dyDescent="0.25">
      <c r="A608" s="17"/>
      <c r="B608" s="17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20"/>
      <c r="S608" s="21"/>
      <c r="T608" s="22"/>
    </row>
    <row r="609" spans="1:20" ht="13.2" x14ac:dyDescent="0.25">
      <c r="A609" s="17"/>
      <c r="B609" s="17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20"/>
      <c r="S609" s="21"/>
      <c r="T609" s="22"/>
    </row>
    <row r="610" spans="1:20" ht="13.2" x14ac:dyDescent="0.25">
      <c r="A610" s="17"/>
      <c r="B610" s="17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20"/>
      <c r="S610" s="21"/>
      <c r="T610" s="22"/>
    </row>
    <row r="611" spans="1:20" ht="13.2" x14ac:dyDescent="0.25">
      <c r="A611" s="17"/>
      <c r="B611" s="17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20"/>
      <c r="S611" s="21"/>
      <c r="T611" s="22"/>
    </row>
    <row r="612" spans="1:20" ht="13.2" x14ac:dyDescent="0.25">
      <c r="A612" s="17"/>
      <c r="B612" s="17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20"/>
      <c r="S612" s="21"/>
      <c r="T612" s="22"/>
    </row>
    <row r="613" spans="1:20" ht="13.2" x14ac:dyDescent="0.25">
      <c r="A613" s="17"/>
      <c r="B613" s="17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20"/>
      <c r="S613" s="21"/>
      <c r="T613" s="22"/>
    </row>
    <row r="614" spans="1:20" ht="13.2" x14ac:dyDescent="0.25">
      <c r="A614" s="17"/>
      <c r="B614" s="17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20"/>
      <c r="S614" s="21"/>
      <c r="T614" s="22"/>
    </row>
    <row r="615" spans="1:20" ht="13.2" x14ac:dyDescent="0.25">
      <c r="A615" s="17"/>
      <c r="B615" s="17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20"/>
      <c r="S615" s="21"/>
      <c r="T615" s="22"/>
    </row>
    <row r="616" spans="1:20" ht="13.2" x14ac:dyDescent="0.25">
      <c r="A616" s="17"/>
      <c r="B616" s="17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20"/>
      <c r="S616" s="21"/>
      <c r="T616" s="22"/>
    </row>
    <row r="617" spans="1:20" ht="13.2" x14ac:dyDescent="0.25">
      <c r="A617" s="17"/>
      <c r="B617" s="17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20"/>
      <c r="S617" s="21"/>
      <c r="T617" s="22"/>
    </row>
    <row r="618" spans="1:20" ht="13.2" x14ac:dyDescent="0.25">
      <c r="A618" s="17"/>
      <c r="B618" s="17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20"/>
      <c r="S618" s="21"/>
      <c r="T618" s="22"/>
    </row>
    <row r="619" spans="1:20" ht="13.2" x14ac:dyDescent="0.25">
      <c r="A619" s="17"/>
      <c r="B619" s="17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20"/>
      <c r="S619" s="21"/>
      <c r="T619" s="22"/>
    </row>
    <row r="620" spans="1:20" ht="13.2" x14ac:dyDescent="0.25">
      <c r="A620" s="17"/>
      <c r="B620" s="17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20"/>
      <c r="S620" s="21"/>
      <c r="T620" s="22"/>
    </row>
    <row r="621" spans="1:20" ht="13.2" x14ac:dyDescent="0.25">
      <c r="A621" s="17"/>
      <c r="B621" s="17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20"/>
      <c r="S621" s="21"/>
      <c r="T621" s="22"/>
    </row>
    <row r="622" spans="1:20" ht="13.2" x14ac:dyDescent="0.25">
      <c r="A622" s="17"/>
      <c r="B622" s="17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20"/>
      <c r="S622" s="21"/>
      <c r="T622" s="22"/>
    </row>
    <row r="623" spans="1:20" ht="13.2" x14ac:dyDescent="0.25">
      <c r="A623" s="17"/>
      <c r="B623" s="17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20"/>
      <c r="S623" s="21"/>
      <c r="T623" s="22"/>
    </row>
    <row r="624" spans="1:20" ht="13.2" x14ac:dyDescent="0.25">
      <c r="A624" s="17"/>
      <c r="B624" s="17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20"/>
      <c r="S624" s="21"/>
      <c r="T624" s="22"/>
    </row>
    <row r="625" spans="1:20" ht="13.2" x14ac:dyDescent="0.25">
      <c r="A625" s="17"/>
      <c r="B625" s="17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20"/>
      <c r="S625" s="21"/>
      <c r="T625" s="22"/>
    </row>
    <row r="626" spans="1:20" ht="13.2" x14ac:dyDescent="0.25">
      <c r="A626" s="17"/>
      <c r="B626" s="17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20"/>
      <c r="S626" s="21"/>
      <c r="T626" s="22"/>
    </row>
    <row r="627" spans="1:20" ht="13.2" x14ac:dyDescent="0.25">
      <c r="A627" s="17"/>
      <c r="B627" s="17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20"/>
      <c r="S627" s="21"/>
      <c r="T627" s="22"/>
    </row>
    <row r="628" spans="1:20" ht="13.2" x14ac:dyDescent="0.25">
      <c r="A628" s="17"/>
      <c r="B628" s="17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20"/>
      <c r="S628" s="21"/>
      <c r="T628" s="22"/>
    </row>
    <row r="629" spans="1:20" ht="13.2" x14ac:dyDescent="0.25">
      <c r="A629" s="17"/>
      <c r="B629" s="17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20"/>
      <c r="S629" s="21"/>
      <c r="T629" s="22"/>
    </row>
    <row r="630" spans="1:20" ht="13.2" x14ac:dyDescent="0.25">
      <c r="A630" s="17"/>
      <c r="B630" s="17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20"/>
      <c r="S630" s="21"/>
      <c r="T630" s="22"/>
    </row>
    <row r="631" spans="1:20" ht="13.2" x14ac:dyDescent="0.25">
      <c r="A631" s="17"/>
      <c r="B631" s="17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20"/>
      <c r="S631" s="21"/>
      <c r="T631" s="22"/>
    </row>
    <row r="632" spans="1:20" ht="13.2" x14ac:dyDescent="0.25">
      <c r="A632" s="17"/>
      <c r="B632" s="17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20"/>
      <c r="S632" s="21"/>
      <c r="T632" s="22"/>
    </row>
    <row r="633" spans="1:20" ht="13.2" x14ac:dyDescent="0.25">
      <c r="A633" s="17"/>
      <c r="B633" s="17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20"/>
      <c r="S633" s="21"/>
      <c r="T633" s="22"/>
    </row>
    <row r="634" spans="1:20" ht="13.2" x14ac:dyDescent="0.25">
      <c r="A634" s="17"/>
      <c r="B634" s="17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20"/>
      <c r="S634" s="21"/>
      <c r="T634" s="22"/>
    </row>
    <row r="635" spans="1:20" ht="13.2" x14ac:dyDescent="0.25">
      <c r="A635" s="17"/>
      <c r="B635" s="17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20"/>
      <c r="S635" s="21"/>
      <c r="T635" s="22"/>
    </row>
    <row r="636" spans="1:20" ht="13.2" x14ac:dyDescent="0.25">
      <c r="A636" s="17"/>
      <c r="B636" s="17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20"/>
      <c r="S636" s="21"/>
      <c r="T636" s="22"/>
    </row>
    <row r="637" spans="1:20" ht="13.2" x14ac:dyDescent="0.25">
      <c r="A637" s="17"/>
      <c r="B637" s="17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20"/>
      <c r="S637" s="21"/>
      <c r="T637" s="22"/>
    </row>
    <row r="638" spans="1:20" ht="13.2" x14ac:dyDescent="0.25">
      <c r="A638" s="17"/>
      <c r="B638" s="17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20"/>
      <c r="S638" s="21"/>
      <c r="T638" s="22"/>
    </row>
    <row r="639" spans="1:20" ht="13.2" x14ac:dyDescent="0.25">
      <c r="A639" s="17"/>
      <c r="B639" s="17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20"/>
      <c r="S639" s="21"/>
      <c r="T639" s="22"/>
    </row>
    <row r="640" spans="1:20" ht="13.2" x14ac:dyDescent="0.25">
      <c r="A640" s="17"/>
      <c r="B640" s="17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20"/>
      <c r="S640" s="21"/>
      <c r="T640" s="22"/>
    </row>
    <row r="641" spans="1:20" ht="13.2" x14ac:dyDescent="0.25">
      <c r="A641" s="17"/>
      <c r="B641" s="17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20"/>
      <c r="S641" s="21"/>
      <c r="T641" s="22"/>
    </row>
    <row r="642" spans="1:20" ht="13.2" x14ac:dyDescent="0.25">
      <c r="A642" s="17"/>
      <c r="B642" s="17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20"/>
      <c r="S642" s="21"/>
      <c r="T642" s="22"/>
    </row>
    <row r="643" spans="1:20" ht="13.2" x14ac:dyDescent="0.25">
      <c r="A643" s="17"/>
      <c r="B643" s="17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20"/>
      <c r="S643" s="21"/>
      <c r="T643" s="22"/>
    </row>
    <row r="644" spans="1:20" ht="13.2" x14ac:dyDescent="0.25">
      <c r="A644" s="17"/>
      <c r="B644" s="17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20"/>
      <c r="S644" s="21"/>
      <c r="T644" s="22"/>
    </row>
    <row r="645" spans="1:20" ht="13.2" x14ac:dyDescent="0.25">
      <c r="A645" s="17"/>
      <c r="B645" s="17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20"/>
      <c r="S645" s="21"/>
      <c r="T645" s="22"/>
    </row>
    <row r="646" spans="1:20" ht="13.2" x14ac:dyDescent="0.25">
      <c r="A646" s="17"/>
      <c r="B646" s="17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20"/>
      <c r="S646" s="21"/>
      <c r="T646" s="22"/>
    </row>
    <row r="647" spans="1:20" ht="13.2" x14ac:dyDescent="0.25">
      <c r="A647" s="17"/>
      <c r="B647" s="17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20"/>
      <c r="S647" s="21"/>
      <c r="T647" s="22"/>
    </row>
    <row r="648" spans="1:20" ht="13.2" x14ac:dyDescent="0.25">
      <c r="A648" s="17"/>
      <c r="B648" s="17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20"/>
      <c r="S648" s="21"/>
      <c r="T648" s="22"/>
    </row>
    <row r="649" spans="1:20" ht="13.2" x14ac:dyDescent="0.25">
      <c r="A649" s="17"/>
      <c r="B649" s="17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20"/>
      <c r="S649" s="21"/>
      <c r="T649" s="22"/>
    </row>
    <row r="650" spans="1:20" ht="13.2" x14ac:dyDescent="0.25">
      <c r="A650" s="17"/>
      <c r="B650" s="17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20"/>
      <c r="S650" s="21"/>
      <c r="T650" s="22"/>
    </row>
    <row r="651" spans="1:20" ht="13.2" x14ac:dyDescent="0.25">
      <c r="A651" s="17"/>
      <c r="B651" s="17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20"/>
      <c r="S651" s="21"/>
      <c r="T651" s="22"/>
    </row>
    <row r="652" spans="1:20" ht="13.2" x14ac:dyDescent="0.25">
      <c r="A652" s="17"/>
      <c r="B652" s="17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20"/>
      <c r="S652" s="21"/>
      <c r="T652" s="22"/>
    </row>
    <row r="653" spans="1:20" ht="13.2" x14ac:dyDescent="0.25">
      <c r="A653" s="17"/>
      <c r="B653" s="17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20"/>
      <c r="S653" s="21"/>
      <c r="T653" s="22"/>
    </row>
    <row r="654" spans="1:20" ht="13.2" x14ac:dyDescent="0.25">
      <c r="A654" s="17"/>
      <c r="B654" s="17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20"/>
      <c r="S654" s="21"/>
      <c r="T654" s="22"/>
    </row>
    <row r="655" spans="1:20" ht="13.2" x14ac:dyDescent="0.25">
      <c r="A655" s="17"/>
      <c r="B655" s="17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20"/>
      <c r="S655" s="21"/>
      <c r="T655" s="22"/>
    </row>
    <row r="656" spans="1:20" ht="13.2" x14ac:dyDescent="0.25">
      <c r="A656" s="17"/>
      <c r="B656" s="17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20"/>
      <c r="S656" s="21"/>
      <c r="T656" s="22"/>
    </row>
    <row r="657" spans="1:20" ht="13.2" x14ac:dyDescent="0.25">
      <c r="A657" s="17"/>
      <c r="B657" s="17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20"/>
      <c r="S657" s="21"/>
      <c r="T657" s="22"/>
    </row>
    <row r="658" spans="1:20" ht="13.2" x14ac:dyDescent="0.25">
      <c r="A658" s="17"/>
      <c r="B658" s="17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20"/>
      <c r="S658" s="21"/>
      <c r="T658" s="22"/>
    </row>
    <row r="659" spans="1:20" ht="13.2" x14ac:dyDescent="0.25">
      <c r="A659" s="17"/>
      <c r="B659" s="17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20"/>
      <c r="S659" s="21"/>
      <c r="T659" s="22"/>
    </row>
    <row r="660" spans="1:20" ht="13.2" x14ac:dyDescent="0.25">
      <c r="A660" s="17"/>
      <c r="B660" s="17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20"/>
      <c r="S660" s="21"/>
      <c r="T660" s="22"/>
    </row>
    <row r="661" spans="1:20" ht="13.2" x14ac:dyDescent="0.25">
      <c r="A661" s="17"/>
      <c r="B661" s="17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20"/>
      <c r="S661" s="21"/>
      <c r="T661" s="22"/>
    </row>
    <row r="662" spans="1:20" ht="13.2" x14ac:dyDescent="0.25">
      <c r="A662" s="17"/>
      <c r="B662" s="17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20"/>
      <c r="S662" s="21"/>
      <c r="T662" s="22"/>
    </row>
    <row r="663" spans="1:20" ht="13.2" x14ac:dyDescent="0.25">
      <c r="A663" s="17"/>
      <c r="B663" s="17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20"/>
      <c r="S663" s="21"/>
      <c r="T663" s="22"/>
    </row>
    <row r="664" spans="1:20" ht="13.2" x14ac:dyDescent="0.25">
      <c r="A664" s="17"/>
      <c r="B664" s="17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20"/>
      <c r="S664" s="21"/>
      <c r="T664" s="22"/>
    </row>
    <row r="665" spans="1:20" ht="13.2" x14ac:dyDescent="0.25">
      <c r="A665" s="17"/>
      <c r="B665" s="17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20"/>
      <c r="S665" s="21"/>
      <c r="T665" s="22"/>
    </row>
    <row r="666" spans="1:20" ht="13.2" x14ac:dyDescent="0.25">
      <c r="A666" s="17"/>
      <c r="B666" s="17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20"/>
      <c r="S666" s="21"/>
      <c r="T666" s="22"/>
    </row>
    <row r="667" spans="1:20" ht="13.2" x14ac:dyDescent="0.25">
      <c r="A667" s="17"/>
      <c r="B667" s="17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20"/>
      <c r="S667" s="21"/>
      <c r="T667" s="22"/>
    </row>
    <row r="668" spans="1:20" ht="13.2" x14ac:dyDescent="0.25">
      <c r="A668" s="17"/>
      <c r="B668" s="17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20"/>
      <c r="S668" s="21"/>
      <c r="T668" s="22"/>
    </row>
    <row r="669" spans="1:20" ht="13.2" x14ac:dyDescent="0.25">
      <c r="A669" s="17"/>
      <c r="B669" s="17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20"/>
      <c r="S669" s="21"/>
      <c r="T669" s="22"/>
    </row>
    <row r="670" spans="1:20" ht="13.2" x14ac:dyDescent="0.25">
      <c r="A670" s="17"/>
      <c r="B670" s="17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20"/>
      <c r="S670" s="21"/>
      <c r="T670" s="22"/>
    </row>
    <row r="671" spans="1:20" ht="13.2" x14ac:dyDescent="0.25">
      <c r="A671" s="17"/>
      <c r="B671" s="17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20"/>
      <c r="S671" s="21"/>
      <c r="T671" s="22"/>
    </row>
    <row r="672" spans="1:20" ht="13.2" x14ac:dyDescent="0.25">
      <c r="A672" s="17"/>
      <c r="B672" s="17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20"/>
      <c r="S672" s="21"/>
      <c r="T672" s="22"/>
    </row>
    <row r="673" spans="1:20" ht="13.2" x14ac:dyDescent="0.25">
      <c r="A673" s="17"/>
      <c r="B673" s="17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20"/>
      <c r="S673" s="21"/>
      <c r="T673" s="22"/>
    </row>
    <row r="674" spans="1:20" ht="13.2" x14ac:dyDescent="0.25">
      <c r="A674" s="17"/>
      <c r="B674" s="17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20"/>
      <c r="S674" s="21"/>
      <c r="T674" s="22"/>
    </row>
    <row r="675" spans="1:20" ht="13.2" x14ac:dyDescent="0.25">
      <c r="A675" s="17"/>
      <c r="B675" s="17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20"/>
      <c r="S675" s="21"/>
      <c r="T675" s="22"/>
    </row>
    <row r="676" spans="1:20" ht="13.2" x14ac:dyDescent="0.25">
      <c r="A676" s="17"/>
      <c r="B676" s="17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20"/>
      <c r="S676" s="21"/>
      <c r="T676" s="22"/>
    </row>
    <row r="677" spans="1:20" ht="13.2" x14ac:dyDescent="0.25">
      <c r="A677" s="17"/>
      <c r="B677" s="17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20"/>
      <c r="S677" s="21"/>
      <c r="T677" s="22"/>
    </row>
    <row r="678" spans="1:20" ht="13.2" x14ac:dyDescent="0.25">
      <c r="A678" s="17"/>
      <c r="B678" s="17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20"/>
      <c r="S678" s="21"/>
      <c r="T678" s="22"/>
    </row>
    <row r="679" spans="1:20" ht="13.2" x14ac:dyDescent="0.25">
      <c r="A679" s="17"/>
      <c r="B679" s="17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20"/>
      <c r="S679" s="21"/>
      <c r="T679" s="22"/>
    </row>
    <row r="680" spans="1:20" ht="13.2" x14ac:dyDescent="0.25">
      <c r="A680" s="17"/>
      <c r="B680" s="17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20"/>
      <c r="S680" s="21"/>
      <c r="T680" s="22"/>
    </row>
    <row r="681" spans="1:20" ht="13.2" x14ac:dyDescent="0.25">
      <c r="A681" s="17"/>
      <c r="B681" s="17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20"/>
      <c r="S681" s="21"/>
      <c r="T681" s="22"/>
    </row>
    <row r="682" spans="1:20" ht="13.2" x14ac:dyDescent="0.25">
      <c r="A682" s="17"/>
      <c r="B682" s="17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20"/>
      <c r="S682" s="21"/>
      <c r="T682" s="22"/>
    </row>
    <row r="683" spans="1:20" ht="13.2" x14ac:dyDescent="0.25">
      <c r="A683" s="17"/>
      <c r="B683" s="17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20"/>
      <c r="S683" s="21"/>
      <c r="T683" s="22"/>
    </row>
    <row r="684" spans="1:20" ht="13.2" x14ac:dyDescent="0.25">
      <c r="A684" s="17"/>
      <c r="B684" s="17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20"/>
      <c r="S684" s="21"/>
      <c r="T684" s="22"/>
    </row>
    <row r="685" spans="1:20" ht="13.2" x14ac:dyDescent="0.25">
      <c r="A685" s="17"/>
      <c r="B685" s="17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20"/>
      <c r="S685" s="21"/>
      <c r="T685" s="22"/>
    </row>
    <row r="686" spans="1:20" ht="13.2" x14ac:dyDescent="0.25">
      <c r="A686" s="17"/>
      <c r="B686" s="17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20"/>
      <c r="S686" s="21"/>
      <c r="T686" s="22"/>
    </row>
    <row r="687" spans="1:20" ht="13.2" x14ac:dyDescent="0.25">
      <c r="A687" s="17"/>
      <c r="B687" s="17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20"/>
      <c r="S687" s="21"/>
      <c r="T687" s="22"/>
    </row>
    <row r="688" spans="1:20" ht="13.2" x14ac:dyDescent="0.25">
      <c r="A688" s="17"/>
      <c r="B688" s="17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20"/>
      <c r="S688" s="21"/>
      <c r="T688" s="22"/>
    </row>
    <row r="689" spans="1:20" ht="13.2" x14ac:dyDescent="0.25">
      <c r="A689" s="17"/>
      <c r="B689" s="17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20"/>
      <c r="S689" s="21"/>
      <c r="T689" s="22"/>
    </row>
    <row r="690" spans="1:20" ht="13.2" x14ac:dyDescent="0.25">
      <c r="A690" s="17"/>
      <c r="B690" s="17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20"/>
      <c r="S690" s="21"/>
      <c r="T690" s="22"/>
    </row>
    <row r="691" spans="1:20" ht="13.2" x14ac:dyDescent="0.25">
      <c r="A691" s="17"/>
      <c r="B691" s="17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20"/>
      <c r="S691" s="21"/>
      <c r="T691" s="22"/>
    </row>
    <row r="692" spans="1:20" ht="13.2" x14ac:dyDescent="0.25">
      <c r="A692" s="17"/>
      <c r="B692" s="17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20"/>
      <c r="S692" s="21"/>
      <c r="T692" s="22"/>
    </row>
    <row r="693" spans="1:20" ht="13.2" x14ac:dyDescent="0.25">
      <c r="A693" s="17"/>
      <c r="B693" s="17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20"/>
      <c r="S693" s="21"/>
      <c r="T693" s="22"/>
    </row>
    <row r="694" spans="1:20" ht="13.2" x14ac:dyDescent="0.25">
      <c r="A694" s="17"/>
      <c r="B694" s="17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20"/>
      <c r="S694" s="21"/>
      <c r="T694" s="22"/>
    </row>
    <row r="695" spans="1:20" ht="13.2" x14ac:dyDescent="0.25">
      <c r="A695" s="17"/>
      <c r="B695" s="17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20"/>
      <c r="S695" s="21"/>
      <c r="T695" s="22"/>
    </row>
    <row r="696" spans="1:20" ht="13.2" x14ac:dyDescent="0.25">
      <c r="A696" s="17"/>
      <c r="B696" s="17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20"/>
      <c r="S696" s="21"/>
      <c r="T696" s="22"/>
    </row>
    <row r="697" spans="1:20" ht="13.2" x14ac:dyDescent="0.25">
      <c r="A697" s="17"/>
      <c r="B697" s="17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20"/>
      <c r="S697" s="21"/>
      <c r="T697" s="22"/>
    </row>
    <row r="698" spans="1:20" ht="13.2" x14ac:dyDescent="0.25">
      <c r="A698" s="17"/>
      <c r="B698" s="17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20"/>
      <c r="S698" s="21"/>
      <c r="T698" s="22"/>
    </row>
    <row r="699" spans="1:20" ht="13.2" x14ac:dyDescent="0.25">
      <c r="A699" s="17"/>
      <c r="B699" s="17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20"/>
      <c r="S699" s="21"/>
      <c r="T699" s="22"/>
    </row>
    <row r="700" spans="1:20" ht="13.2" x14ac:dyDescent="0.25">
      <c r="A700" s="17"/>
      <c r="B700" s="17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20"/>
      <c r="S700" s="21"/>
      <c r="T700" s="22"/>
    </row>
    <row r="701" spans="1:20" ht="13.2" x14ac:dyDescent="0.25">
      <c r="A701" s="17"/>
      <c r="B701" s="17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20"/>
      <c r="S701" s="21"/>
      <c r="T701" s="22"/>
    </row>
    <row r="702" spans="1:20" ht="13.2" x14ac:dyDescent="0.25">
      <c r="A702" s="17"/>
      <c r="B702" s="17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20"/>
      <c r="S702" s="21"/>
      <c r="T702" s="22"/>
    </row>
    <row r="703" spans="1:20" ht="13.2" x14ac:dyDescent="0.25">
      <c r="A703" s="17"/>
      <c r="B703" s="17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20"/>
      <c r="S703" s="21"/>
      <c r="T703" s="22"/>
    </row>
    <row r="704" spans="1:20" ht="13.2" x14ac:dyDescent="0.25">
      <c r="A704" s="17"/>
      <c r="B704" s="17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20"/>
      <c r="S704" s="21"/>
      <c r="T704" s="22"/>
    </row>
    <row r="705" spans="1:20" ht="13.2" x14ac:dyDescent="0.25">
      <c r="A705" s="17"/>
      <c r="B705" s="17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20"/>
      <c r="S705" s="21"/>
      <c r="T705" s="22"/>
    </row>
    <row r="706" spans="1:20" ht="13.2" x14ac:dyDescent="0.25">
      <c r="A706" s="17"/>
      <c r="B706" s="17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20"/>
      <c r="S706" s="21"/>
      <c r="T706" s="22"/>
    </row>
    <row r="707" spans="1:20" ht="13.2" x14ac:dyDescent="0.25">
      <c r="A707" s="17"/>
      <c r="B707" s="17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20"/>
      <c r="S707" s="21"/>
      <c r="T707" s="22"/>
    </row>
    <row r="708" spans="1:20" ht="13.2" x14ac:dyDescent="0.25">
      <c r="A708" s="17"/>
      <c r="B708" s="17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20"/>
      <c r="S708" s="21"/>
      <c r="T708" s="22"/>
    </row>
    <row r="709" spans="1:20" ht="13.2" x14ac:dyDescent="0.25">
      <c r="A709" s="17"/>
      <c r="B709" s="17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20"/>
      <c r="S709" s="21"/>
      <c r="T709" s="22"/>
    </row>
    <row r="710" spans="1:20" ht="13.2" x14ac:dyDescent="0.25">
      <c r="A710" s="17"/>
      <c r="B710" s="17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20"/>
      <c r="S710" s="21"/>
      <c r="T710" s="22"/>
    </row>
    <row r="711" spans="1:20" ht="13.2" x14ac:dyDescent="0.25">
      <c r="A711" s="17"/>
      <c r="B711" s="17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20"/>
      <c r="S711" s="21"/>
      <c r="T711" s="22"/>
    </row>
    <row r="712" spans="1:20" ht="13.2" x14ac:dyDescent="0.25">
      <c r="A712" s="17"/>
      <c r="B712" s="17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20"/>
      <c r="S712" s="21"/>
      <c r="T712" s="22"/>
    </row>
    <row r="713" spans="1:20" ht="13.2" x14ac:dyDescent="0.25">
      <c r="A713" s="17"/>
      <c r="B713" s="17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20"/>
      <c r="S713" s="21"/>
      <c r="T713" s="22"/>
    </row>
    <row r="714" spans="1:20" ht="13.2" x14ac:dyDescent="0.25">
      <c r="A714" s="17"/>
      <c r="B714" s="17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20"/>
      <c r="S714" s="21"/>
      <c r="T714" s="22"/>
    </row>
    <row r="715" spans="1:20" ht="13.2" x14ac:dyDescent="0.25">
      <c r="A715" s="17"/>
      <c r="B715" s="17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20"/>
      <c r="S715" s="21"/>
      <c r="T715" s="22"/>
    </row>
    <row r="716" spans="1:20" ht="13.2" x14ac:dyDescent="0.25">
      <c r="A716" s="17"/>
      <c r="B716" s="17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20"/>
      <c r="S716" s="21"/>
      <c r="T716" s="22"/>
    </row>
    <row r="717" spans="1:20" ht="13.2" x14ac:dyDescent="0.25">
      <c r="A717" s="17"/>
      <c r="B717" s="17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20"/>
      <c r="S717" s="21"/>
      <c r="T717" s="22"/>
    </row>
    <row r="718" spans="1:20" ht="13.2" x14ac:dyDescent="0.25">
      <c r="A718" s="17"/>
      <c r="B718" s="17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20"/>
      <c r="S718" s="21"/>
      <c r="T718" s="22"/>
    </row>
    <row r="719" spans="1:20" ht="13.2" x14ac:dyDescent="0.25">
      <c r="A719" s="17"/>
      <c r="B719" s="17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20"/>
      <c r="S719" s="21"/>
      <c r="T719" s="22"/>
    </row>
    <row r="720" spans="1:20" ht="13.2" x14ac:dyDescent="0.25">
      <c r="A720" s="17"/>
      <c r="B720" s="17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20"/>
      <c r="S720" s="21"/>
      <c r="T720" s="22"/>
    </row>
    <row r="721" spans="1:20" ht="13.2" x14ac:dyDescent="0.25">
      <c r="A721" s="17"/>
      <c r="B721" s="17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20"/>
      <c r="S721" s="21"/>
      <c r="T721" s="22"/>
    </row>
    <row r="722" spans="1:20" ht="13.2" x14ac:dyDescent="0.25">
      <c r="A722" s="17"/>
      <c r="B722" s="17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20"/>
      <c r="S722" s="21"/>
      <c r="T722" s="22"/>
    </row>
    <row r="723" spans="1:20" ht="13.2" x14ac:dyDescent="0.25">
      <c r="A723" s="17"/>
      <c r="B723" s="17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20"/>
      <c r="S723" s="21"/>
      <c r="T723" s="22"/>
    </row>
    <row r="724" spans="1:20" ht="13.2" x14ac:dyDescent="0.25">
      <c r="A724" s="17"/>
      <c r="B724" s="17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20"/>
      <c r="S724" s="21"/>
      <c r="T724" s="22"/>
    </row>
    <row r="725" spans="1:20" ht="13.2" x14ac:dyDescent="0.25">
      <c r="A725" s="17"/>
      <c r="B725" s="17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20"/>
      <c r="S725" s="21"/>
      <c r="T725" s="22"/>
    </row>
    <row r="726" spans="1:20" ht="13.2" x14ac:dyDescent="0.25">
      <c r="A726" s="17"/>
      <c r="B726" s="17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20"/>
      <c r="S726" s="21"/>
      <c r="T726" s="22"/>
    </row>
    <row r="727" spans="1:20" ht="13.2" x14ac:dyDescent="0.25">
      <c r="A727" s="17"/>
      <c r="B727" s="17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20"/>
      <c r="S727" s="21"/>
      <c r="T727" s="22"/>
    </row>
    <row r="728" spans="1:20" ht="13.2" x14ac:dyDescent="0.25">
      <c r="A728" s="17"/>
      <c r="B728" s="17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20"/>
      <c r="S728" s="21"/>
      <c r="T728" s="22"/>
    </row>
    <row r="729" spans="1:20" ht="13.2" x14ac:dyDescent="0.25">
      <c r="A729" s="17"/>
      <c r="B729" s="17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20"/>
      <c r="S729" s="21"/>
      <c r="T729" s="22"/>
    </row>
    <row r="730" spans="1:20" ht="13.2" x14ac:dyDescent="0.25">
      <c r="A730" s="17"/>
      <c r="B730" s="17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20"/>
      <c r="S730" s="21"/>
      <c r="T730" s="22"/>
    </row>
    <row r="731" spans="1:20" ht="13.2" x14ac:dyDescent="0.25">
      <c r="A731" s="17"/>
      <c r="B731" s="17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20"/>
      <c r="S731" s="21"/>
      <c r="T731" s="22"/>
    </row>
    <row r="732" spans="1:20" ht="13.2" x14ac:dyDescent="0.25">
      <c r="A732" s="17"/>
      <c r="B732" s="17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20"/>
      <c r="S732" s="21"/>
      <c r="T732" s="22"/>
    </row>
    <row r="733" spans="1:20" ht="13.2" x14ac:dyDescent="0.25">
      <c r="A733" s="17"/>
      <c r="B733" s="17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20"/>
      <c r="S733" s="21"/>
      <c r="T733" s="22"/>
    </row>
    <row r="734" spans="1:20" ht="13.2" x14ac:dyDescent="0.25">
      <c r="A734" s="17"/>
      <c r="B734" s="17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20"/>
      <c r="S734" s="21"/>
      <c r="T734" s="22"/>
    </row>
    <row r="735" spans="1:20" ht="13.2" x14ac:dyDescent="0.25">
      <c r="A735" s="17"/>
      <c r="B735" s="17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20"/>
      <c r="S735" s="21"/>
      <c r="T735" s="22"/>
    </row>
    <row r="736" spans="1:20" ht="13.2" x14ac:dyDescent="0.25">
      <c r="A736" s="17"/>
      <c r="B736" s="17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20"/>
      <c r="S736" s="21"/>
      <c r="T736" s="22"/>
    </row>
    <row r="737" spans="1:20" ht="13.2" x14ac:dyDescent="0.25">
      <c r="A737" s="17"/>
      <c r="B737" s="17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20"/>
      <c r="S737" s="21"/>
      <c r="T737" s="22"/>
    </row>
    <row r="738" spans="1:20" ht="13.2" x14ac:dyDescent="0.25">
      <c r="A738" s="17"/>
      <c r="B738" s="17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20"/>
      <c r="S738" s="21"/>
      <c r="T738" s="22"/>
    </row>
    <row r="739" spans="1:20" ht="13.2" x14ac:dyDescent="0.25">
      <c r="A739" s="17"/>
      <c r="B739" s="17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20"/>
      <c r="S739" s="21"/>
      <c r="T739" s="22"/>
    </row>
    <row r="740" spans="1:20" ht="13.2" x14ac:dyDescent="0.25">
      <c r="A740" s="17"/>
      <c r="B740" s="17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20"/>
      <c r="S740" s="21"/>
      <c r="T740" s="22"/>
    </row>
    <row r="741" spans="1:20" ht="13.2" x14ac:dyDescent="0.25">
      <c r="A741" s="17"/>
      <c r="B741" s="17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20"/>
      <c r="S741" s="21"/>
      <c r="T741" s="22"/>
    </row>
    <row r="742" spans="1:20" ht="13.2" x14ac:dyDescent="0.25">
      <c r="A742" s="17"/>
      <c r="B742" s="17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20"/>
      <c r="S742" s="21"/>
      <c r="T742" s="22"/>
    </row>
  </sheetData>
  <mergeCells count="7">
    <mergeCell ref="B44:Q44"/>
    <mergeCell ref="B52:Q52"/>
    <mergeCell ref="B4:Q4"/>
    <mergeCell ref="B12:Q12"/>
    <mergeCell ref="B20:Q20"/>
    <mergeCell ref="B28:Q28"/>
    <mergeCell ref="B36:Q36"/>
  </mergeCells>
  <conditionalFormatting sqref="V13">
    <cfRule type="notContainsBlanks" dxfId="9" priority="1">
      <formula>LEN(TRIM(V13))&gt;0</formula>
    </cfRule>
  </conditionalFormatting>
  <dataValidations count="3">
    <dataValidation type="custom" allowBlank="1" showDropDown="1" showInputMessage="1" showErrorMessage="1" prompt="Ide csak 2006-2010 (2011) közötti értéket adhat meg!" sqref="D5:D9 D13:D17 D21:D25 D29:D33 D37:D41 D45:D49 D53:D57" xr:uid="{00000000-0002-0000-0000-000000000000}">
      <formula1>OR(D5 = "2006", D5="2007",  D5="2008", D5="2009", D5="2010", D5="2011")</formula1>
    </dataValidation>
    <dataValidation type="custom" allowBlank="1" showDropDown="1" showInputMessage="1" showErrorMessage="1" prompt="Ide csak az elért magasság, valamint a DNS, NH, DQ jelek írható!" sqref="Q5:Q9 Q13:Q17 Q21:Q25 Q29:Q33 Q37:Q41 Q45:Q49 Q53:Q57" xr:uid="{00000000-0002-0000-0000-000001000000}">
      <formula1>REGEXMATCH(Q5, "^\d,\d\d$|^NH$|^DNS$")</formula1>
    </dataValidation>
    <dataValidation type="custom" allowBlank="1" showDropDown="1" showInputMessage="1" showErrorMessage="1" prompt="Csak a kicsi x, o valamint a - jelet használja!" sqref="E5:P9 E13:P17 E21:P25 E29:P33 E37:P41 E45:P49 E53:P57" xr:uid="{00000000-0002-0000-0000-000002000000}">
      <formula1>REGEXMATCH(E5,"^-$|^x$|^x$|^xx$|^xxx$|^x-$|^xx-$|^o$|^xo$|^xxo$")</formula1>
    </dataValidation>
  </dataValidations>
  <printOptions horizontalCentered="1" gridLines="1"/>
  <pageMargins left="0.7" right="0.7" top="0.75" bottom="0.75" header="0" footer="0"/>
  <pageSetup paperSize="9" pageOrder="overThenDown" orientation="landscape" cellComments="atEnd" r:id="rId1"/>
  <headerFooter>
    <oddHeader>&amp;L&amp;F&amp;C2025/2026. TANÉVI ATLÉTIKA ÜCSB DIÁKOLIMPIA&amp;RVÁRMEGYEI JEGYZŐKÖNYV</oddHeader>
    <oddFooter>&amp;R&amp;P</oddFooter>
  </headerFooter>
  <rowBreaks count="2" manualBreakCount="2">
    <brk id="51" man="1"/>
    <brk id="2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1C232"/>
    <outlinePr summaryBelow="0" summaryRight="0"/>
  </sheetPr>
  <dimension ref="A1:AA756"/>
  <sheetViews>
    <sheetView workbookViewId="0">
      <pane ySplit="3" topLeftCell="A4" activePane="bottomLeft" state="frozen"/>
      <selection pane="bottomLeft" activeCell="O10" sqref="O10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2" t="s">
        <v>570</v>
      </c>
      <c r="B1" s="63"/>
      <c r="C1" s="64"/>
      <c r="D1" s="65"/>
      <c r="E1" s="66"/>
      <c r="F1" s="66"/>
      <c r="G1" s="66"/>
      <c r="H1" s="70"/>
      <c r="I1" s="69"/>
      <c r="J1" s="70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571</v>
      </c>
      <c r="C4" s="73"/>
      <c r="D4" s="73"/>
      <c r="E4" s="73"/>
      <c r="F4" s="73"/>
      <c r="G4" s="73"/>
      <c r="H4" s="50"/>
      <c r="I4" s="25">
        <f ca="1">IF(COUNTIFS(H5:H9,"&gt;0") &gt; 3, FLOOR((SUM(H5:H9)-MIN(H5,H6,H7,H8,H9))/4,0.0001), )</f>
        <v>8.9924999999999997</v>
      </c>
      <c r="J4" s="26">
        <f ca="1">IF(I4=0,"",RANK(I4,$I$4:$I$59,))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572</v>
      </c>
      <c r="D5" s="44" t="s">
        <v>10</v>
      </c>
      <c r="E5" s="51" t="s">
        <v>573</v>
      </c>
      <c r="F5" s="51" t="s">
        <v>574</v>
      </c>
      <c r="G5" s="51" t="s">
        <v>254</v>
      </c>
      <c r="H5" s="52">
        <f ca="1">IFERROR(__xludf.DUMMYFUNCTION("MAX(IF(REGEXMATCH(E5,""^\d{1,2},\d{2}$""),VALUE(E5),0),IF(REGEXMATCH(F5,""^\d{1,2},\d{2}$""),VALUE(F5),0),IF(REGEXMATCH(G5,""^\d{1,2},\d{2}$""),VALUE(G5),0))"),9.79)</f>
        <v>9.7899999999999991</v>
      </c>
      <c r="I5" s="21"/>
      <c r="J5" s="22"/>
    </row>
    <row r="6" spans="1:27" ht="18.75" customHeight="1" x14ac:dyDescent="0.25">
      <c r="A6" s="17"/>
      <c r="B6" s="28">
        <v>2</v>
      </c>
      <c r="C6" s="29" t="s">
        <v>575</v>
      </c>
      <c r="D6" s="44" t="s">
        <v>10</v>
      </c>
      <c r="E6" s="51" t="s">
        <v>576</v>
      </c>
      <c r="F6" s="51" t="s">
        <v>577</v>
      </c>
      <c r="G6" s="51" t="s">
        <v>578</v>
      </c>
      <c r="H6" s="52">
        <f ca="1">IFERROR(__xludf.DUMMYFUNCTION("MAX(IF(REGEXMATCH(E6,""^\d{1,2},\d{2}$""),VALUE(E6),0),IF(REGEXMATCH(F6,""^\d{1,2},\d{2}$""),VALUE(F6),0),IF(REGEXMATCH(G6,""^\d{1,2},\d{2}$""),VALUE(G6),0))"),7.89)</f>
        <v>7.89</v>
      </c>
      <c r="I6" s="21"/>
      <c r="J6" s="22"/>
    </row>
    <row r="7" spans="1:27" ht="18.75" customHeight="1" x14ac:dyDescent="0.25">
      <c r="A7" s="17"/>
      <c r="B7" s="28">
        <v>3</v>
      </c>
      <c r="C7" s="29" t="s">
        <v>535</v>
      </c>
      <c r="D7" s="44" t="s">
        <v>32</v>
      </c>
      <c r="E7" s="51" t="s">
        <v>579</v>
      </c>
      <c r="F7" s="51" t="s">
        <v>240</v>
      </c>
      <c r="G7" s="51" t="s">
        <v>306</v>
      </c>
      <c r="H7" s="52">
        <f ca="1">IFERROR(__xludf.DUMMYFUNCTION("MAX(IF(REGEXMATCH(E7,""^\d{1,2},\d{2}$""),VALUE(E7),0),IF(REGEXMATCH(F7,""^\d{1,2},\d{2}$""),VALUE(F7),0),IF(REGEXMATCH(G7,""^\d{1,2},\d{2}$""),VALUE(G7),0))"),9.9)</f>
        <v>9.9</v>
      </c>
      <c r="I7" s="21"/>
      <c r="J7" s="22"/>
    </row>
    <row r="8" spans="1:27" ht="18.75" customHeight="1" x14ac:dyDescent="0.25">
      <c r="A8" s="17"/>
      <c r="B8" s="28">
        <v>4</v>
      </c>
      <c r="C8" s="29" t="s">
        <v>580</v>
      </c>
      <c r="D8" s="44" t="s">
        <v>26</v>
      </c>
      <c r="E8" s="51" t="s">
        <v>581</v>
      </c>
      <c r="F8" s="51" t="s">
        <v>582</v>
      </c>
      <c r="G8" s="51" t="s">
        <v>583</v>
      </c>
      <c r="H8" s="52">
        <f ca="1">IFERROR(__xludf.DUMMYFUNCTION("MAX(IF(REGEXMATCH(E8,""^\d{1,2},\d{2}$""),VALUE(E8),0),IF(REGEXMATCH(F8,""^\d{1,2},\d{2}$""),VALUE(F8),0),IF(REGEXMATCH(G8,""^\d{1,2},\d{2}$""),VALUE(G8),0))"),8.39)</f>
        <v>8.39</v>
      </c>
      <c r="I8" s="21"/>
      <c r="J8" s="22"/>
    </row>
    <row r="9" spans="1:27" ht="18.75" customHeight="1" x14ac:dyDescent="0.25">
      <c r="A9" s="17"/>
      <c r="B9" s="28">
        <v>5</v>
      </c>
      <c r="C9" s="29"/>
      <c r="D9" s="44"/>
      <c r="E9" s="51"/>
      <c r="F9" s="51"/>
      <c r="G9" s="51"/>
      <c r="H9" s="52">
        <f ca="1">IFERROR(__xludf.DUMMYFUNCTION("MAX(IF(REGEXMATCH(E9,""^\d{1,2},\d{2}$""),VALUE(E9),0),IF(REGEXMATCH(F9,""^\d{1,2},\d{2}$""),VALUE(F9),0),IF(REGEXMATCH(G9,""^\d{1,2},\d{2}$""),VALUE(G9),0))"),0)</f>
        <v>0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584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585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7.57</v>
      </c>
      <c r="J12" s="26">
        <f ca="1">IF(I12=0,"",RANK(I12,$I$4:$I$59,))</f>
        <v>2</v>
      </c>
    </row>
    <row r="13" spans="1:27" ht="18.75" customHeight="1" x14ac:dyDescent="0.25">
      <c r="A13" s="17"/>
      <c r="B13" s="28">
        <v>1</v>
      </c>
      <c r="C13" s="29" t="s">
        <v>586</v>
      </c>
      <c r="D13" s="44" t="s">
        <v>18</v>
      </c>
      <c r="E13" s="51" t="s">
        <v>587</v>
      </c>
      <c r="F13" s="51" t="s">
        <v>588</v>
      </c>
      <c r="G13" s="51" t="s">
        <v>578</v>
      </c>
      <c r="H13" s="52">
        <f ca="1">IFERROR(__xludf.DUMMYFUNCTION("MAX(IF(REGEXMATCH(E13,""^\d{1,2},\d{2}$""),VALUE(E13),0),IF(REGEXMATCH(F13,""^\d{1,2},\d{2}$""),VALUE(F13),0),IF(REGEXMATCH(G13,""^\d{1,2},\d{2}$""),VALUE(G13),0))"),8.27)</f>
        <v>8.27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589</v>
      </c>
      <c r="D14" s="44" t="s">
        <v>18</v>
      </c>
      <c r="E14" s="51" t="s">
        <v>590</v>
      </c>
      <c r="F14" s="51" t="s">
        <v>591</v>
      </c>
      <c r="G14" s="51" t="s">
        <v>592</v>
      </c>
      <c r="H14" s="52">
        <f ca="1">IFERROR(__xludf.DUMMYFUNCTION("MAX(IF(REGEXMATCH(E14,""^\d{1,2},\d{2}$""),VALUE(E14),0),IF(REGEXMATCH(F14,""^\d{1,2},\d{2}$""),VALUE(F14),0),IF(REGEXMATCH(G14,""^\d{1,2},\d{2}$""),VALUE(G14),0))"),7.57)</f>
        <v>7.57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593</v>
      </c>
      <c r="D15" s="44" t="s">
        <v>18</v>
      </c>
      <c r="E15" s="51" t="s">
        <v>594</v>
      </c>
      <c r="F15" s="51" t="s">
        <v>595</v>
      </c>
      <c r="G15" s="51" t="s">
        <v>596</v>
      </c>
      <c r="H15" s="52">
        <f ca="1">IFERROR(__xludf.DUMMYFUNCTION("MAX(IF(REGEXMATCH(E15,""^\d{1,2},\d{2}$""),VALUE(E15),0),IF(REGEXMATCH(F15,""^\d{1,2},\d{2}$""),VALUE(F15),0),IF(REGEXMATCH(G15,""^\d{1,2},\d{2}$""),VALUE(G15),0))"),6.9)</f>
        <v>6.9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597</v>
      </c>
      <c r="D16" s="44" t="s">
        <v>41</v>
      </c>
      <c r="E16" s="51" t="s">
        <v>233</v>
      </c>
      <c r="F16" s="51" t="s">
        <v>598</v>
      </c>
      <c r="G16" s="51" t="s">
        <v>599</v>
      </c>
      <c r="H16" s="52">
        <f ca="1">IFERROR(__xludf.DUMMYFUNCTION("MAX(IF(REGEXMATCH(E16,""^\d{1,2},\d{2}$""),VALUE(E16),0),IF(REGEXMATCH(F16,""^\d{1,2},\d{2}$""),VALUE(F16),0),IF(REGEXMATCH(G16,""^\d{1,2},\d{2}$""),VALUE(G16),0))"),7.12)</f>
        <v>7.12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493</v>
      </c>
      <c r="D17" s="44" t="s">
        <v>15</v>
      </c>
      <c r="E17" s="51" t="s">
        <v>600</v>
      </c>
      <c r="F17" s="51" t="s">
        <v>601</v>
      </c>
      <c r="G17" s="51" t="s">
        <v>602</v>
      </c>
      <c r="H17" s="52">
        <f ca="1">IFERROR(__xludf.DUMMYFUNCTION("MAX(IF(REGEXMATCH(E17,""^\d{1,2},\d{2}$""),VALUE(E17),0),IF(REGEXMATCH(F17,""^\d{1,2},\d{2}$""),VALUE(F17),0),IF(REGEXMATCH(G17,""^\d{1,2},\d{2}$""),VALUE(G17),0))"),7.32)</f>
        <v>7.32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23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498</v>
      </c>
      <c r="C20" s="73"/>
      <c r="D20" s="73"/>
      <c r="E20" s="73"/>
      <c r="F20" s="73"/>
      <c r="G20" s="74"/>
      <c r="H20" s="50"/>
      <c r="I20" s="25">
        <f ca="1">IF(COUNTIFS(H21:H25,"&gt;0") &gt; 3, FLOOR((SUM(H21:H25)-MIN(H21,H22,H23,H24,H25))/4,0.0001), )</f>
        <v>7.3975</v>
      </c>
      <c r="J20" s="26">
        <f ca="1">IF(I20=0,"",RANK(I20,$I$4:$I$59,))</f>
        <v>3</v>
      </c>
    </row>
    <row r="21" spans="1:10" ht="13.2" x14ac:dyDescent="0.25">
      <c r="A21" s="17"/>
      <c r="B21" s="28">
        <v>1</v>
      </c>
      <c r="C21" s="29" t="s">
        <v>603</v>
      </c>
      <c r="D21" s="44" t="s">
        <v>10</v>
      </c>
      <c r="E21" s="51" t="s">
        <v>604</v>
      </c>
      <c r="F21" s="51" t="s">
        <v>605</v>
      </c>
      <c r="G21" s="51" t="s">
        <v>606</v>
      </c>
      <c r="H21" s="52">
        <f ca="1">IFERROR(__xludf.DUMMYFUNCTION("MAX(IF(REGEXMATCH(E21,""^\d{1,2},\d{2}$""),VALUE(E21),0),IF(REGEXMATCH(F21,""^\d{1,2},\d{2}$""),VALUE(F21),0),IF(REGEXMATCH(G21,""^\d{1,2},\d{2}$""),VALUE(G21),0))"),5.33)</f>
        <v>5.33</v>
      </c>
      <c r="I21" s="21"/>
      <c r="J21" s="22"/>
    </row>
    <row r="22" spans="1:10" ht="13.2" x14ac:dyDescent="0.25">
      <c r="A22" s="17"/>
      <c r="B22" s="28">
        <v>2</v>
      </c>
      <c r="C22" s="29" t="s">
        <v>607</v>
      </c>
      <c r="D22" s="44" t="s">
        <v>26</v>
      </c>
      <c r="E22" s="51" t="s">
        <v>608</v>
      </c>
      <c r="F22" s="51" t="s">
        <v>609</v>
      </c>
      <c r="G22" s="51" t="s">
        <v>610</v>
      </c>
      <c r="H22" s="52">
        <f ca="1">IFERROR(__xludf.DUMMYFUNCTION("MAX(IF(REGEXMATCH(E22,""^\d{1,2},\d{2}$""),VALUE(E22),0),IF(REGEXMATCH(F22,""^\d{1,2},\d{2}$""),VALUE(F22),0),IF(REGEXMATCH(G22,""^\d{1,2},\d{2}$""),VALUE(G22),0))"),7.46)</f>
        <v>7.46</v>
      </c>
      <c r="I22" s="21"/>
      <c r="J22" s="22"/>
    </row>
    <row r="23" spans="1:10" ht="13.2" x14ac:dyDescent="0.25">
      <c r="A23" s="17"/>
      <c r="B23" s="28">
        <v>3</v>
      </c>
      <c r="C23" s="29" t="s">
        <v>501</v>
      </c>
      <c r="D23" s="44" t="s">
        <v>32</v>
      </c>
      <c r="E23" s="51" t="s">
        <v>100</v>
      </c>
      <c r="F23" s="51" t="s">
        <v>309</v>
      </c>
      <c r="G23" s="51" t="s">
        <v>611</v>
      </c>
      <c r="H23" s="52">
        <f ca="1">IFERROR(__xludf.DUMMYFUNCTION("MAX(IF(REGEXMATCH(E23,""^\d{1,2},\d{2}$""),VALUE(E23),0),IF(REGEXMATCH(F23,""^\d{1,2},\d{2}$""),VALUE(F23),0),IF(REGEXMATCH(G23,""^\d{1,2},\d{2}$""),VALUE(G23),0))"),6.57)</f>
        <v>6.57</v>
      </c>
      <c r="I23" s="21"/>
      <c r="J23" s="22"/>
    </row>
    <row r="24" spans="1:10" ht="13.2" x14ac:dyDescent="0.25">
      <c r="A24" s="17"/>
      <c r="B24" s="28">
        <v>4</v>
      </c>
      <c r="C24" s="29" t="s">
        <v>507</v>
      </c>
      <c r="D24" s="44" t="s">
        <v>18</v>
      </c>
      <c r="E24" s="51" t="s">
        <v>612</v>
      </c>
      <c r="F24" s="51" t="s">
        <v>613</v>
      </c>
      <c r="G24" s="51" t="s">
        <v>308</v>
      </c>
      <c r="H24" s="52">
        <f ca="1">IFERROR(__xludf.DUMMYFUNCTION("MAX(IF(REGEXMATCH(E24,""^\d{1,2},\d{2}$""),VALUE(E24),0),IF(REGEXMATCH(F24,""^\d{1,2},\d{2}$""),VALUE(F24),0),IF(REGEXMATCH(G24,""^\d{1,2},\d{2}$""),VALUE(G24),0))"),6.62)</f>
        <v>6.62</v>
      </c>
      <c r="I24" s="21"/>
      <c r="J24" s="22"/>
    </row>
    <row r="25" spans="1:10" ht="13.2" x14ac:dyDescent="0.25">
      <c r="A25" s="17"/>
      <c r="B25" s="28">
        <v>5</v>
      </c>
      <c r="C25" s="29" t="s">
        <v>614</v>
      </c>
      <c r="D25" s="44" t="s">
        <v>26</v>
      </c>
      <c r="E25" s="51" t="s">
        <v>615</v>
      </c>
      <c r="F25" s="51" t="s">
        <v>616</v>
      </c>
      <c r="G25" s="51" t="s">
        <v>617</v>
      </c>
      <c r="H25" s="52">
        <f ca="1">IFERROR(__xludf.DUMMYFUNCTION("MAX(IF(REGEXMATCH(E25,""^\d{1,2},\d{2}$""),VALUE(E25),0),IF(REGEXMATCH(F25,""^\d{1,2},\d{2}$""),VALUE(F25),0),IF(REGEXMATCH(G25,""^\d{1,2},\d{2}$""),VALUE(G25),0))"),8.94)</f>
        <v>8.94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510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271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7.1875</v>
      </c>
      <c r="J28" s="26">
        <f ca="1">IF(I28=0,"",RANK(I28,$I$4:$I$59,))</f>
        <v>4</v>
      </c>
    </row>
    <row r="29" spans="1:10" ht="13.2" x14ac:dyDescent="0.25">
      <c r="A29" s="17"/>
      <c r="B29" s="28">
        <v>1</v>
      </c>
      <c r="C29" s="29" t="s">
        <v>618</v>
      </c>
      <c r="D29" s="44" t="s">
        <v>26</v>
      </c>
      <c r="E29" s="51" t="s">
        <v>80</v>
      </c>
      <c r="F29" s="51" t="s">
        <v>619</v>
      </c>
      <c r="G29" s="51" t="s">
        <v>620</v>
      </c>
      <c r="H29" s="52">
        <f ca="1">IFERROR(__xludf.DUMMYFUNCTION("MAX(IF(REGEXMATCH(E29,""^\d{1,2},\d{2}$""),VALUE(E29),0),IF(REGEXMATCH(F29,""^\d{1,2},\d{2}$""),VALUE(F29),0),IF(REGEXMATCH(G29,""^\d{1,2},\d{2}$""),VALUE(G29),0))"),5.8)</f>
        <v>5.8</v>
      </c>
      <c r="I29" s="21"/>
      <c r="J29" s="22"/>
    </row>
    <row r="30" spans="1:10" ht="13.2" x14ac:dyDescent="0.25">
      <c r="A30" s="17"/>
      <c r="B30" s="28">
        <v>2</v>
      </c>
      <c r="C30" s="29" t="s">
        <v>621</v>
      </c>
      <c r="D30" s="44" t="s">
        <v>26</v>
      </c>
      <c r="E30" s="51" t="s">
        <v>304</v>
      </c>
      <c r="F30" s="51" t="s">
        <v>595</v>
      </c>
      <c r="G30" s="51" t="s">
        <v>622</v>
      </c>
      <c r="H30" s="52">
        <f ca="1">IFERROR(__xludf.DUMMYFUNCTION("MAX(IF(REGEXMATCH(E30,""^\d{1,2},\d{2}$""),VALUE(E30),0),IF(REGEXMATCH(F30,""^\d{1,2},\d{2}$""),VALUE(F30),0),IF(REGEXMATCH(G30,""^\d{1,2},\d{2}$""),VALUE(G30),0))"),6.85)</f>
        <v>6.85</v>
      </c>
      <c r="I30" s="21"/>
      <c r="J30" s="22"/>
    </row>
    <row r="31" spans="1:10" ht="13.2" x14ac:dyDescent="0.25">
      <c r="A31" s="17"/>
      <c r="B31" s="28">
        <v>3</v>
      </c>
      <c r="C31" s="29" t="s">
        <v>623</v>
      </c>
      <c r="D31" s="44" t="s">
        <v>15</v>
      </c>
      <c r="E31" s="51" t="s">
        <v>624</v>
      </c>
      <c r="F31" s="51" t="s">
        <v>625</v>
      </c>
      <c r="G31" s="51" t="s">
        <v>275</v>
      </c>
      <c r="H31" s="52">
        <f ca="1">IFERROR(__xludf.DUMMYFUNCTION("MAX(IF(REGEXMATCH(E31,""^\d{1,2},\d{2}$""),VALUE(E31),0),IF(REGEXMATCH(F31,""^\d{1,2},\d{2}$""),VALUE(F31),0),IF(REGEXMATCH(G31,""^\d{1,2},\d{2}$""),VALUE(G31),0))"),8.41)</f>
        <v>8.41</v>
      </c>
      <c r="I31" s="21"/>
      <c r="J31" s="22"/>
    </row>
    <row r="32" spans="1:10" ht="13.2" x14ac:dyDescent="0.25">
      <c r="A32" s="17"/>
      <c r="B32" s="28">
        <v>4</v>
      </c>
      <c r="C32" s="29" t="s">
        <v>626</v>
      </c>
      <c r="D32" s="44" t="s">
        <v>18</v>
      </c>
      <c r="E32" s="51" t="s">
        <v>627</v>
      </c>
      <c r="F32" s="51" t="s">
        <v>628</v>
      </c>
      <c r="G32" s="51" t="s">
        <v>629</v>
      </c>
      <c r="H32" s="52">
        <f ca="1">IFERROR(__xludf.DUMMYFUNCTION("MAX(IF(REGEXMATCH(E32,""^\d{1,2},\d{2}$""),VALUE(E32),0),IF(REGEXMATCH(F32,""^\d{1,2},\d{2}$""),VALUE(F32),0),IF(REGEXMATCH(G32,""^\d{1,2},\d{2}$""),VALUE(G32),0))"),7.69)</f>
        <v>7.69</v>
      </c>
      <c r="I32" s="21"/>
      <c r="J32" s="22"/>
    </row>
    <row r="33" spans="1:10" ht="13.2" x14ac:dyDescent="0.25">
      <c r="A33" s="17"/>
      <c r="B33" s="28">
        <v>5</v>
      </c>
      <c r="C33" s="29"/>
      <c r="D33" s="44"/>
      <c r="E33" s="51"/>
      <c r="F33" s="51"/>
      <c r="G33" s="51"/>
      <c r="H33" s="52">
        <f ca="1">IFERROR(__xludf.DUMMYFUNCTION("MAX(IF(REGEXMATCH(E33,""^\d{1,2},\d{2}$""),VALUE(E33),0),IF(REGEXMATCH(F33,""^\d{1,2},\d{2}$""),VALUE(F33),0),IF(REGEXMATCH(G33,""^\d{1,2},\d{2}$""),VALUE(G33),0))"),0)</f>
        <v>0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285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5.6" x14ac:dyDescent="0.25">
      <c r="A36" s="23">
        <v>5</v>
      </c>
      <c r="B36" s="72" t="s">
        <v>35</v>
      </c>
      <c r="C36" s="73"/>
      <c r="D36" s="73"/>
      <c r="E36" s="73"/>
      <c r="F36" s="73"/>
      <c r="G36" s="73"/>
      <c r="H36" s="50"/>
      <c r="I36" s="25">
        <f ca="1">IF(COUNTIFS(H37:H41,"&gt;0") &gt; 3, FLOOR((SUM(H37:H41)-MIN(H37,H38,H39,H40,H41))/4,0.0001), )</f>
        <v>7.0425000000000004</v>
      </c>
      <c r="J36" s="26">
        <f ca="1">IF(I36=0,"",RANK(I36,$I$4:$I$59,))</f>
        <v>5</v>
      </c>
    </row>
    <row r="37" spans="1:10" ht="13.2" x14ac:dyDescent="0.25">
      <c r="A37" s="17"/>
      <c r="B37" s="28">
        <v>1</v>
      </c>
      <c r="C37" s="29" t="s">
        <v>630</v>
      </c>
      <c r="D37" s="44" t="s">
        <v>10</v>
      </c>
      <c r="E37" s="51" t="s">
        <v>631</v>
      </c>
      <c r="F37" s="51" t="s">
        <v>632</v>
      </c>
      <c r="G37" s="51" t="s">
        <v>600</v>
      </c>
      <c r="H37" s="52">
        <f ca="1">IFERROR(__xludf.DUMMYFUNCTION("MAX(IF(REGEXMATCH(E37,""^\d{1,2},\d{2}$""),VALUE(E37),0),IF(REGEXMATCH(F37,""^\d{1,2},\d{2}$""),VALUE(F37),0),IF(REGEXMATCH(G37,""^\d{1,2},\d{2}$""),VALUE(G37),0))"),7.11)</f>
        <v>7.11</v>
      </c>
      <c r="I37" s="21"/>
      <c r="J37" s="22"/>
    </row>
    <row r="38" spans="1:10" ht="13.2" x14ac:dyDescent="0.25">
      <c r="A38" s="17"/>
      <c r="B38" s="28">
        <v>2</v>
      </c>
      <c r="C38" s="29" t="s">
        <v>516</v>
      </c>
      <c r="D38" s="44" t="s">
        <v>10</v>
      </c>
      <c r="E38" s="51" t="s">
        <v>633</v>
      </c>
      <c r="F38" s="51" t="s">
        <v>634</v>
      </c>
      <c r="G38" s="51" t="s">
        <v>635</v>
      </c>
      <c r="H38" s="52">
        <f ca="1">IFERROR(__xludf.DUMMYFUNCTION("MAX(IF(REGEXMATCH(E38,""^\d{1,2},\d{2}$""),VALUE(E38),0),IF(REGEXMATCH(F38,""^\d{1,2},\d{2}$""),VALUE(F38),0),IF(REGEXMATCH(G38,""^\d{1,2},\d{2}$""),VALUE(G38),0))"),6.37)</f>
        <v>6.37</v>
      </c>
      <c r="I38" s="21"/>
      <c r="J38" s="22"/>
    </row>
    <row r="39" spans="1:10" ht="13.2" x14ac:dyDescent="0.25">
      <c r="A39" s="17"/>
      <c r="B39" s="28">
        <v>3</v>
      </c>
      <c r="C39" s="29" t="s">
        <v>636</v>
      </c>
      <c r="D39" s="44" t="s">
        <v>10</v>
      </c>
      <c r="E39" s="51" t="s">
        <v>632</v>
      </c>
      <c r="F39" s="51" t="s">
        <v>596</v>
      </c>
      <c r="G39" s="51" t="s">
        <v>591</v>
      </c>
      <c r="H39" s="52">
        <f ca="1">IFERROR(__xludf.DUMMYFUNCTION("MAX(IF(REGEXMATCH(E39,""^\d{1,2},\d{2}$""),VALUE(E39),0),IF(REGEXMATCH(F39,""^\d{1,2},\d{2}$""),VALUE(F39),0),IF(REGEXMATCH(G39,""^\d{1,2},\d{2}$""),VALUE(G39),0))"),6.9)</f>
        <v>6.9</v>
      </c>
      <c r="I39" s="21"/>
      <c r="J39" s="22"/>
    </row>
    <row r="40" spans="1:10" ht="13.2" x14ac:dyDescent="0.25">
      <c r="A40" s="17"/>
      <c r="B40" s="28">
        <v>4</v>
      </c>
      <c r="C40" s="29" t="s">
        <v>637</v>
      </c>
      <c r="D40" s="44" t="s">
        <v>18</v>
      </c>
      <c r="E40" s="51" t="s">
        <v>638</v>
      </c>
      <c r="F40" s="51" t="s">
        <v>639</v>
      </c>
      <c r="G40" s="51" t="s">
        <v>640</v>
      </c>
      <c r="H40" s="52">
        <f ca="1">IFERROR(__xludf.DUMMYFUNCTION("MAX(IF(REGEXMATCH(E40,""^\d{1,2},\d{2}$""),VALUE(E40),0),IF(REGEXMATCH(F40,""^\d{1,2},\d{2}$""),VALUE(F40),0),IF(REGEXMATCH(G40,""^\d{1,2},\d{2}$""),VALUE(G40),0))"),6.77)</f>
        <v>6.77</v>
      </c>
      <c r="I40" s="21"/>
      <c r="J40" s="22"/>
    </row>
    <row r="41" spans="1:10" ht="13.2" x14ac:dyDescent="0.25">
      <c r="A41" s="17"/>
      <c r="B41" s="28">
        <v>5</v>
      </c>
      <c r="C41" s="29" t="s">
        <v>641</v>
      </c>
      <c r="D41" s="44" t="s">
        <v>18</v>
      </c>
      <c r="E41" s="51" t="s">
        <v>642</v>
      </c>
      <c r="F41" s="51" t="s">
        <v>78</v>
      </c>
      <c r="G41" s="51" t="s">
        <v>643</v>
      </c>
      <c r="H41" s="52">
        <f ca="1">IFERROR(__xludf.DUMMYFUNCTION("MAX(IF(REGEXMATCH(E41,""^\d{1,2},\d{2}$""),VALUE(E41),0),IF(REGEXMATCH(F41,""^\d{1,2},\d{2}$""),VALUE(F41),0),IF(REGEXMATCH(G41,""^\d{1,2},\d{2}$""),VALUE(G41),0))"),7.39)</f>
        <v>7.39</v>
      </c>
      <c r="I41" s="21"/>
      <c r="J41" s="22"/>
    </row>
    <row r="42" spans="1:10" ht="13.2" x14ac:dyDescent="0.25">
      <c r="A42" s="17"/>
      <c r="B42" s="53" t="s">
        <v>22</v>
      </c>
      <c r="C42" s="36"/>
      <c r="D42" s="37" t="s">
        <v>491</v>
      </c>
      <c r="E42" s="38"/>
      <c r="F42" s="38"/>
      <c r="G42" s="38"/>
      <c r="H42" s="55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5.6" x14ac:dyDescent="0.25">
      <c r="A44" s="23">
        <v>6</v>
      </c>
      <c r="B44" s="72" t="s">
        <v>644</v>
      </c>
      <c r="C44" s="73"/>
      <c r="D44" s="73"/>
      <c r="E44" s="73"/>
      <c r="F44" s="73"/>
      <c r="G44" s="73"/>
      <c r="H44" s="50"/>
      <c r="I44" s="25">
        <f ca="1">IF(COUNTIFS(H45:H49,"&gt;0") &gt; 3, FLOOR((SUM(H45:H49)-MIN(H45,H46,H47,H48,H49))/4,0.0001), )</f>
        <v>6.915</v>
      </c>
      <c r="J44" s="26">
        <f ca="1">IF(I44=0,"",RANK(I44,$I$4:$I$59,))</f>
        <v>6</v>
      </c>
    </row>
    <row r="45" spans="1:10" ht="13.2" x14ac:dyDescent="0.25">
      <c r="A45" s="17"/>
      <c r="B45" s="28">
        <v>1</v>
      </c>
      <c r="C45" s="29" t="s">
        <v>645</v>
      </c>
      <c r="D45" s="44" t="s">
        <v>26</v>
      </c>
      <c r="E45" s="51" t="s">
        <v>646</v>
      </c>
      <c r="F45" s="51" t="s">
        <v>647</v>
      </c>
      <c r="G45" s="51" t="s">
        <v>309</v>
      </c>
      <c r="H45" s="52">
        <f ca="1">IFERROR(__xludf.DUMMYFUNCTION("MAX(IF(REGEXMATCH(E45,""^\d{1,2},\d{2}$""),VALUE(E45),0),IF(REGEXMATCH(F45,""^\d{1,2},\d{2}$""),VALUE(F45),0),IF(REGEXMATCH(G45,""^\d{1,2},\d{2}$""),VALUE(G45),0))"),7.33)</f>
        <v>7.33</v>
      </c>
      <c r="I45" s="21"/>
      <c r="J45" s="22"/>
    </row>
    <row r="46" spans="1:10" ht="13.2" x14ac:dyDescent="0.25">
      <c r="A46" s="17"/>
      <c r="B46" s="28">
        <v>2</v>
      </c>
      <c r="C46" s="29" t="s">
        <v>648</v>
      </c>
      <c r="D46" s="44" t="s">
        <v>15</v>
      </c>
      <c r="E46" s="51" t="s">
        <v>649</v>
      </c>
      <c r="F46" s="51" t="s">
        <v>650</v>
      </c>
      <c r="G46" s="51" t="s">
        <v>651</v>
      </c>
      <c r="H46" s="52">
        <f ca="1">IFERROR(__xludf.DUMMYFUNCTION("MAX(IF(REGEXMATCH(E46,""^\d{1,2},\d{2}$""),VALUE(E46),0),IF(REGEXMATCH(F46,""^\d{1,2},\d{2}$""),VALUE(F46),0),IF(REGEXMATCH(G46,""^\d{1,2},\d{2}$""),VALUE(G46),0))"),5.99)</f>
        <v>5.99</v>
      </c>
      <c r="I46" s="21"/>
      <c r="J46" s="22"/>
    </row>
    <row r="47" spans="1:10" ht="13.2" x14ac:dyDescent="0.25">
      <c r="A47" s="17"/>
      <c r="B47" s="28">
        <v>3</v>
      </c>
      <c r="C47" s="29" t="s">
        <v>652</v>
      </c>
      <c r="D47" s="44" t="s">
        <v>10</v>
      </c>
      <c r="E47" s="51" t="s">
        <v>653</v>
      </c>
      <c r="F47" s="51" t="s">
        <v>289</v>
      </c>
      <c r="G47" s="51" t="s">
        <v>654</v>
      </c>
      <c r="H47" s="52">
        <f ca="1">IFERROR(__xludf.DUMMYFUNCTION("MAX(IF(REGEXMATCH(E47,""^\d{1,2},\d{2}$""),VALUE(E47),0),IF(REGEXMATCH(F47,""^\d{1,2},\d{2}$""),VALUE(F47),0),IF(REGEXMATCH(G47,""^\d{1,2},\d{2}$""),VALUE(G47),0))"),7.19)</f>
        <v>7.19</v>
      </c>
      <c r="I47" s="21"/>
      <c r="J47" s="22"/>
    </row>
    <row r="48" spans="1:10" ht="13.2" x14ac:dyDescent="0.25">
      <c r="A48" s="17"/>
      <c r="B48" s="28">
        <v>4</v>
      </c>
      <c r="C48" s="29" t="s">
        <v>655</v>
      </c>
      <c r="D48" s="44" t="s">
        <v>10</v>
      </c>
      <c r="E48" s="51" t="s">
        <v>656</v>
      </c>
      <c r="F48" s="51" t="s">
        <v>633</v>
      </c>
      <c r="G48" s="51" t="s">
        <v>657</v>
      </c>
      <c r="H48" s="52">
        <f ca="1">IFERROR(__xludf.DUMMYFUNCTION("MAX(IF(REGEXMATCH(E48,""^\d{1,2},\d{2}$""),VALUE(E48),0),IF(REGEXMATCH(F48,""^\d{1,2},\d{2}$""),VALUE(F48),0),IF(REGEXMATCH(G48,""^\d{1,2},\d{2}$""),VALUE(G48),0))"),6.16)</f>
        <v>6.16</v>
      </c>
      <c r="I48" s="21"/>
      <c r="J48" s="22"/>
    </row>
    <row r="49" spans="1:10" ht="13.2" x14ac:dyDescent="0.25">
      <c r="A49" s="17"/>
      <c r="B49" s="28">
        <v>5</v>
      </c>
      <c r="C49" s="29" t="s">
        <v>658</v>
      </c>
      <c r="D49" s="44" t="s">
        <v>10</v>
      </c>
      <c r="E49" s="51" t="s">
        <v>659</v>
      </c>
      <c r="F49" s="51" t="s">
        <v>660</v>
      </c>
      <c r="G49" s="51" t="s">
        <v>661</v>
      </c>
      <c r="H49" s="52">
        <f ca="1">IFERROR(__xludf.DUMMYFUNCTION("MAX(IF(REGEXMATCH(E49,""^\d{1,2},\d{2}$""),VALUE(E49),0),IF(REGEXMATCH(F49,""^\d{1,2},\d{2}$""),VALUE(F49),0),IF(REGEXMATCH(G49,""^\d{1,2},\d{2}$""),VALUE(G49),0))"),6.98)</f>
        <v>6.98</v>
      </c>
      <c r="I49" s="21"/>
      <c r="J49" s="22"/>
    </row>
    <row r="50" spans="1:10" ht="13.2" x14ac:dyDescent="0.25">
      <c r="A50" s="17"/>
      <c r="B50" s="53" t="s">
        <v>22</v>
      </c>
      <c r="C50" s="36"/>
      <c r="D50" s="37" t="s">
        <v>139</v>
      </c>
      <c r="E50" s="38"/>
      <c r="F50" s="38"/>
      <c r="G50" s="38"/>
      <c r="H50" s="55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5.6" x14ac:dyDescent="0.25">
      <c r="A52" s="23">
        <v>7</v>
      </c>
      <c r="B52" s="72" t="s">
        <v>662</v>
      </c>
      <c r="C52" s="73"/>
      <c r="D52" s="73"/>
      <c r="E52" s="73"/>
      <c r="F52" s="73"/>
      <c r="G52" s="73"/>
      <c r="H52" s="50"/>
      <c r="I52" s="25">
        <f ca="1">IF(COUNTIFS(H53:H57,"&gt;0") &gt; 3, FLOOR((SUM(H53:H57)-MIN(H53,H54,H55,H56,H57))/4,0.0001), )</f>
        <v>6.4075000000000006</v>
      </c>
      <c r="J52" s="26">
        <f ca="1">IF(I52=0,"",RANK(I52,$I$4:$I$59,))</f>
        <v>7</v>
      </c>
    </row>
    <row r="53" spans="1:10" ht="13.2" x14ac:dyDescent="0.25">
      <c r="A53" s="17"/>
      <c r="B53" s="28">
        <v>1</v>
      </c>
      <c r="C53" s="29" t="s">
        <v>663</v>
      </c>
      <c r="D53" s="44" t="s">
        <v>15</v>
      </c>
      <c r="E53" s="51" t="s">
        <v>289</v>
      </c>
      <c r="F53" s="51" t="s">
        <v>664</v>
      </c>
      <c r="G53" s="51" t="s">
        <v>600</v>
      </c>
      <c r="H53" s="52">
        <f ca="1">IFERROR(__xludf.DUMMYFUNCTION("MAX(IF(REGEXMATCH(E53,""^\d{1,2},\d{2}$""),VALUE(E53),0),IF(REGEXMATCH(F53,""^\d{1,2},\d{2}$""),VALUE(F53),0),IF(REGEXMATCH(G53,""^\d{1,2},\d{2}$""),VALUE(G53),0))"),7.19)</f>
        <v>7.19</v>
      </c>
      <c r="I53" s="21"/>
      <c r="J53" s="22"/>
    </row>
    <row r="54" spans="1:10" ht="13.2" x14ac:dyDescent="0.25">
      <c r="A54" s="17"/>
      <c r="B54" s="28">
        <v>2</v>
      </c>
      <c r="C54" s="29" t="s">
        <v>665</v>
      </c>
      <c r="D54" s="44" t="s">
        <v>26</v>
      </c>
      <c r="E54" s="51" t="s">
        <v>612</v>
      </c>
      <c r="F54" s="51" t="s">
        <v>666</v>
      </c>
      <c r="G54" s="51" t="s">
        <v>666</v>
      </c>
      <c r="H54" s="52">
        <f ca="1">IFERROR(__xludf.DUMMYFUNCTION("MAX(IF(REGEXMATCH(E54,""^\d{1,2},\d{2}$""),VALUE(E54),0),IF(REGEXMATCH(F54,""^\d{1,2},\d{2}$""),VALUE(F54),0),IF(REGEXMATCH(G54,""^\d{1,2},\d{2}$""),VALUE(G54),0))"),6.94)</f>
        <v>6.94</v>
      </c>
      <c r="I54" s="21"/>
      <c r="J54" s="22"/>
    </row>
    <row r="55" spans="1:10" ht="13.2" x14ac:dyDescent="0.25">
      <c r="A55" s="17"/>
      <c r="B55" s="28">
        <v>3</v>
      </c>
      <c r="C55" s="29" t="s">
        <v>667</v>
      </c>
      <c r="D55" s="44" t="s">
        <v>26</v>
      </c>
      <c r="E55" s="51" t="s">
        <v>668</v>
      </c>
      <c r="F55" s="51" t="s">
        <v>669</v>
      </c>
      <c r="G55" s="51" t="s">
        <v>670</v>
      </c>
      <c r="H55" s="52">
        <f ca="1">IFERROR(__xludf.DUMMYFUNCTION("MAX(IF(REGEXMATCH(E55,""^\d{1,2},\d{2}$""),VALUE(E55),0),IF(REGEXMATCH(F55,""^\d{1,2},\d{2}$""),VALUE(F55),0),IF(REGEXMATCH(G55,""^\d{1,2},\d{2}$""),VALUE(G55),0))"),5.9)</f>
        <v>5.9</v>
      </c>
      <c r="I55" s="21"/>
      <c r="J55" s="22"/>
    </row>
    <row r="56" spans="1:10" ht="13.2" x14ac:dyDescent="0.25">
      <c r="A56" s="17"/>
      <c r="B56" s="28">
        <v>4</v>
      </c>
      <c r="C56" s="29" t="s">
        <v>671</v>
      </c>
      <c r="D56" s="44" t="s">
        <v>15</v>
      </c>
      <c r="E56" s="51" t="s">
        <v>176</v>
      </c>
      <c r="F56" s="51" t="s">
        <v>78</v>
      </c>
      <c r="G56" s="51" t="s">
        <v>672</v>
      </c>
      <c r="H56" s="52">
        <f ca="1">IFERROR(__xludf.DUMMYFUNCTION("MAX(IF(REGEXMATCH(E56,""^\d{1,2},\d{2}$""),VALUE(E56),0),IF(REGEXMATCH(F56,""^\d{1,2},\d{2}$""),VALUE(F56),0),IF(REGEXMATCH(G56,""^\d{1,2},\d{2}$""),VALUE(G56),0))"),5.6)</f>
        <v>5.6</v>
      </c>
      <c r="I56" s="21"/>
      <c r="J56" s="22"/>
    </row>
    <row r="57" spans="1:10" ht="13.2" x14ac:dyDescent="0.25">
      <c r="A57" s="17"/>
      <c r="B57" s="28">
        <v>5</v>
      </c>
      <c r="C57" s="29" t="s">
        <v>673</v>
      </c>
      <c r="D57" s="44" t="s">
        <v>15</v>
      </c>
      <c r="E57" s="51" t="s">
        <v>133</v>
      </c>
      <c r="F57" s="51" t="s">
        <v>674</v>
      </c>
      <c r="G57" s="51" t="s">
        <v>675</v>
      </c>
      <c r="H57" s="52">
        <f ca="1">IFERROR(__xludf.DUMMYFUNCTION("MAX(IF(REGEXMATCH(E57,""^\d{1,2},\d{2}$""),VALUE(E57),0),IF(REGEXMATCH(F57,""^\d{1,2},\d{2}$""),VALUE(F57),0),IF(REGEXMATCH(G57,""^\d{1,2},\d{2}$""),VALUE(G57),0))"),5.26)</f>
        <v>5.26</v>
      </c>
      <c r="I57" s="21"/>
      <c r="J57" s="22"/>
    </row>
    <row r="58" spans="1:10" ht="13.2" x14ac:dyDescent="0.25">
      <c r="A58" s="17"/>
      <c r="B58" s="53" t="s">
        <v>22</v>
      </c>
      <c r="C58" s="36"/>
      <c r="D58" s="37" t="s">
        <v>107</v>
      </c>
      <c r="E58" s="38"/>
      <c r="F58" s="38"/>
      <c r="G58" s="38"/>
      <c r="H58" s="55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3.2" x14ac:dyDescent="0.25">
      <c r="A60" s="17"/>
      <c r="B60" s="17"/>
      <c r="D60" s="18"/>
      <c r="E60" s="18"/>
      <c r="F60" s="18"/>
      <c r="G60" s="18"/>
      <c r="H60" s="49"/>
      <c r="I60" s="21"/>
      <c r="J60" s="22"/>
    </row>
    <row r="61" spans="1:10" ht="13.2" x14ac:dyDescent="0.25">
      <c r="A61" s="17"/>
      <c r="B61" s="17"/>
      <c r="D61" s="18"/>
      <c r="E61" s="18"/>
      <c r="F61" s="18"/>
      <c r="G61" s="18"/>
      <c r="H61" s="49"/>
      <c r="I61" s="21"/>
      <c r="J61" s="22"/>
    </row>
    <row r="62" spans="1:10" ht="13.2" x14ac:dyDescent="0.25">
      <c r="A62" s="17"/>
      <c r="B62" s="17"/>
      <c r="D62" s="18"/>
      <c r="E62" s="18"/>
      <c r="F62" s="18"/>
      <c r="G62" s="18"/>
      <c r="H62" s="49"/>
      <c r="I62" s="21"/>
      <c r="J62" s="22"/>
    </row>
    <row r="63" spans="1:10" ht="13.2" x14ac:dyDescent="0.25">
      <c r="A63" s="17"/>
      <c r="B63" s="17"/>
      <c r="D63" s="18"/>
      <c r="E63" s="18"/>
      <c r="F63" s="18"/>
      <c r="G63" s="18"/>
      <c r="H63" s="49"/>
      <c r="I63" s="21"/>
      <c r="J63" s="22"/>
    </row>
    <row r="64" spans="1:10" ht="13.2" x14ac:dyDescent="0.25">
      <c r="A64" s="17"/>
      <c r="B64" s="17"/>
      <c r="D64" s="18"/>
      <c r="E64" s="18"/>
      <c r="F64" s="18"/>
      <c r="G64" s="18"/>
      <c r="H64" s="49"/>
      <c r="I64" s="21"/>
      <c r="J64" s="22"/>
    </row>
    <row r="65" spans="1:10" ht="13.2" x14ac:dyDescent="0.25">
      <c r="A65" s="17"/>
      <c r="B65" s="17"/>
      <c r="D65" s="18"/>
      <c r="E65" s="18"/>
      <c r="F65" s="18"/>
      <c r="G65" s="18"/>
      <c r="H65" s="49"/>
      <c r="I65" s="21"/>
      <c r="J65" s="22"/>
    </row>
    <row r="66" spans="1:10" ht="13.2" x14ac:dyDescent="0.25">
      <c r="A66" s="17"/>
      <c r="B66" s="17"/>
      <c r="D66" s="18"/>
      <c r="E66" s="18"/>
      <c r="F66" s="18"/>
      <c r="G66" s="18"/>
      <c r="H66" s="49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49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49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49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49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49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49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49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49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49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49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49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49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49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49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49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49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49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49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49"/>
      <c r="I756" s="21"/>
      <c r="J756" s="22"/>
    </row>
  </sheetData>
  <mergeCells count="7">
    <mergeCell ref="B44:G44"/>
    <mergeCell ref="B52:G52"/>
    <mergeCell ref="B4:G4"/>
    <mergeCell ref="B12:G12"/>
    <mergeCell ref="B20:G20"/>
    <mergeCell ref="B28:G28"/>
    <mergeCell ref="B36:G36"/>
  </mergeCells>
  <conditionalFormatting sqref="L13">
    <cfRule type="notContainsBlanks" dxfId="2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 D37:D41 D45:D49 D53:D57" xr:uid="{00000000-0002-0000-0900-000000000000}">
      <formula1>OR(D5 = "2006", D5="2007",  D5="2008", D5="2009", D5="2010", D5="2011")</formula1>
    </dataValidation>
    <dataValidation type="custom" allowBlank="1" showDropDown="1" showInputMessage="1" showErrorMessage="1" prompt="Csak szám, (12,33), x. és - jel használható!" sqref="E5:G9 E13:G17 E21:G25 E29:G33 E37:G41 E45:G49 E53:G57" xr:uid="{00000000-0002-0000-0900-000001000000}">
      <formula1>REGEXMATCH(E5,"^\d{1,2},\d{2}$|^x$|^X$|^-$")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1C232"/>
    <outlinePr summaryBelow="0" summaryRight="0"/>
  </sheetPr>
  <dimension ref="A1:AA737"/>
  <sheetViews>
    <sheetView workbookViewId="0">
      <pane ySplit="3" topLeftCell="A4" activePane="bottomLeft" state="frozen"/>
      <selection pane="bottomLeft" activeCell="A36" sqref="A36:XFD322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2" t="s">
        <v>676</v>
      </c>
      <c r="B1" s="63"/>
      <c r="C1" s="64"/>
      <c r="D1" s="65"/>
      <c r="E1" s="66"/>
      <c r="F1" s="66"/>
      <c r="G1" s="66"/>
      <c r="H1" s="70"/>
      <c r="I1" s="69"/>
      <c r="J1" s="70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677</v>
      </c>
      <c r="C4" s="73"/>
      <c r="D4" s="73"/>
      <c r="E4" s="73"/>
      <c r="F4" s="73"/>
      <c r="G4" s="74"/>
      <c r="H4" s="50"/>
      <c r="I4" s="25">
        <f ca="1">IF(COUNTIFS(H5:H9,"&gt;0") &gt; 3, FLOOR((SUM(H5:H9)-MIN(H5,H6,H7,H8,H9))/4,0.0001), )</f>
        <v>19.955000000000002</v>
      </c>
      <c r="J4" s="26">
        <f ca="1">IF(I4=0,"",RANK(I4,$I$4:$I$35,))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630</v>
      </c>
      <c r="D5" s="44" t="s">
        <v>10</v>
      </c>
      <c r="E5" s="51" t="s">
        <v>678</v>
      </c>
      <c r="F5" s="51" t="s">
        <v>314</v>
      </c>
      <c r="G5" s="51" t="s">
        <v>314</v>
      </c>
      <c r="H5" s="52">
        <f ca="1">IFERROR(__xludf.DUMMYFUNCTION("MAX(IF(REGEXMATCH(E5,""^\d{1,2},\d{2}$""),VALUE(E5),0),IF(REGEXMATCH(F5,""^\d{1,2},\d{2}$""),VALUE(F5),0),IF(REGEXMATCH(G5,""^\d{1,2},\d{2}$""),VALUE(G5),0))"),20.47)</f>
        <v>20.47</v>
      </c>
      <c r="I5" s="21"/>
      <c r="J5" s="22"/>
    </row>
    <row r="6" spans="1:27" ht="18.75" customHeight="1" x14ac:dyDescent="0.25">
      <c r="A6" s="17"/>
      <c r="B6" s="28">
        <v>2</v>
      </c>
      <c r="C6" s="29" t="s">
        <v>512</v>
      </c>
      <c r="D6" s="44" t="s">
        <v>10</v>
      </c>
      <c r="E6" s="51" t="s">
        <v>679</v>
      </c>
      <c r="F6" s="51" t="s">
        <v>314</v>
      </c>
      <c r="G6" s="51" t="s">
        <v>314</v>
      </c>
      <c r="H6" s="52">
        <f ca="1">IFERROR(__xludf.DUMMYFUNCTION("MAX(IF(REGEXMATCH(E6,""^\d{1,2},\d{2}$""),VALUE(E6),0),IF(REGEXMATCH(F6,""^\d{1,2},\d{2}$""),VALUE(F6),0),IF(REGEXMATCH(G6,""^\d{1,2},\d{2}$""),VALUE(G6),0))"),18.29)</f>
        <v>18.29</v>
      </c>
      <c r="I6" s="21"/>
      <c r="J6" s="22"/>
    </row>
    <row r="7" spans="1:27" ht="18.75" customHeight="1" x14ac:dyDescent="0.25">
      <c r="A7" s="17"/>
      <c r="B7" s="28">
        <v>3</v>
      </c>
      <c r="C7" s="29" t="s">
        <v>680</v>
      </c>
      <c r="D7" s="44" t="s">
        <v>26</v>
      </c>
      <c r="E7" s="51" t="s">
        <v>681</v>
      </c>
      <c r="F7" s="51" t="s">
        <v>314</v>
      </c>
      <c r="G7" s="51" t="s">
        <v>314</v>
      </c>
      <c r="H7" s="52">
        <f ca="1">IFERROR(__xludf.DUMMYFUNCTION("MAX(IF(REGEXMATCH(E7,""^\d{1,2},\d{2}$""),VALUE(E7),0),IF(REGEXMATCH(F7,""^\d{1,2},\d{2}$""),VALUE(F7),0),IF(REGEXMATCH(G7,""^\d{1,2},\d{2}$""),VALUE(G7),0))"),19.61)</f>
        <v>19.61</v>
      </c>
      <c r="I7" s="21"/>
      <c r="J7" s="22"/>
    </row>
    <row r="8" spans="1:27" ht="18.75" customHeight="1" x14ac:dyDescent="0.25">
      <c r="A8" s="17"/>
      <c r="B8" s="28">
        <v>4</v>
      </c>
      <c r="C8" s="29" t="s">
        <v>682</v>
      </c>
      <c r="D8" s="44" t="s">
        <v>15</v>
      </c>
      <c r="E8" s="51" t="s">
        <v>678</v>
      </c>
      <c r="F8" s="51" t="s">
        <v>314</v>
      </c>
      <c r="G8" s="51" t="s">
        <v>314</v>
      </c>
      <c r="H8" s="52">
        <f ca="1">IFERROR(__xludf.DUMMYFUNCTION("MAX(IF(REGEXMATCH(E8,""^\d{1,2},\d{2}$""),VALUE(E8),0),IF(REGEXMATCH(F8,""^\d{1,2},\d{2}$""),VALUE(F8),0),IF(REGEXMATCH(G8,""^\d{1,2},\d{2}$""),VALUE(G8),0))"),20.47)</f>
        <v>20.47</v>
      </c>
      <c r="I8" s="21"/>
      <c r="J8" s="22"/>
    </row>
    <row r="9" spans="1:27" ht="18.75" customHeight="1" x14ac:dyDescent="0.25">
      <c r="A9" s="17"/>
      <c r="B9" s="28">
        <v>5</v>
      </c>
      <c r="C9" s="29" t="s">
        <v>683</v>
      </c>
      <c r="D9" s="44" t="s">
        <v>26</v>
      </c>
      <c r="E9" s="51" t="s">
        <v>684</v>
      </c>
      <c r="F9" s="51" t="s">
        <v>314</v>
      </c>
      <c r="G9" s="51" t="s">
        <v>314</v>
      </c>
      <c r="H9" s="52">
        <f ca="1">IFERROR(__xludf.DUMMYFUNCTION("MAX(IF(REGEXMATCH(E9,""^\d{1,2},\d{2}$""),VALUE(E9),0),IF(REGEXMATCH(F9,""^\d{1,2},\d{2}$""),VALUE(F9),0),IF(REGEXMATCH(G9,""^\d{1,2},\d{2}$""),VALUE(G9),0))"),19.27)</f>
        <v>19.27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491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417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19.425000000000001</v>
      </c>
      <c r="J12" s="26">
        <f ca="1">IF(I12=0,"",RANK(I12,$I$4:$I$35,))</f>
        <v>2</v>
      </c>
    </row>
    <row r="13" spans="1:27" ht="18.75" customHeight="1" x14ac:dyDescent="0.25">
      <c r="A13" s="17"/>
      <c r="B13" s="28">
        <v>1</v>
      </c>
      <c r="C13" s="29" t="s">
        <v>499</v>
      </c>
      <c r="D13" s="44" t="s">
        <v>10</v>
      </c>
      <c r="E13" s="51" t="s">
        <v>685</v>
      </c>
      <c r="F13" s="51"/>
      <c r="G13" s="51"/>
      <c r="H13" s="52">
        <f ca="1">IFERROR(__xludf.DUMMYFUNCTION("MAX(IF(REGEXMATCH(E13,""^\d{1,2},\d{2}$""),VALUE(E13),0),IF(REGEXMATCH(F13,""^\d{1,2},\d{2}$""),VALUE(F13),0),IF(REGEXMATCH(G13,""^\d{1,2},\d{2}$""),VALUE(G13),0))"),16.75)</f>
        <v>16.75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607</v>
      </c>
      <c r="D14" s="44" t="s">
        <v>26</v>
      </c>
      <c r="E14" s="51" t="s">
        <v>686</v>
      </c>
      <c r="F14" s="51"/>
      <c r="G14" s="51"/>
      <c r="H14" s="52">
        <f ca="1">IFERROR(__xludf.DUMMYFUNCTION("MAX(IF(REGEXMATCH(E14,""^\d{1,2},\d{2}$""),VALUE(E14),0),IF(REGEXMATCH(F14,""^\d{1,2},\d{2}$""),VALUE(F14),0),IF(REGEXMATCH(G14,""^\d{1,2},\d{2}$""),VALUE(G14),0))"),16)</f>
        <v>16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501</v>
      </c>
      <c r="D15" s="44" t="s">
        <v>32</v>
      </c>
      <c r="E15" s="51" t="s">
        <v>687</v>
      </c>
      <c r="F15" s="51"/>
      <c r="G15" s="51"/>
      <c r="H15" s="52">
        <f ca="1">IFERROR(__xludf.DUMMYFUNCTION("MAX(IF(REGEXMATCH(E15,""^\d{1,2},\d{2}$""),VALUE(E15),0),IF(REGEXMATCH(F15,""^\d{1,2},\d{2}$""),VALUE(F15),0),IF(REGEXMATCH(G15,""^\d{1,2},\d{2}$""),VALUE(G15),0))"),15.05)</f>
        <v>15.05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507</v>
      </c>
      <c r="D16" s="44" t="s">
        <v>18</v>
      </c>
      <c r="E16" s="51" t="s">
        <v>688</v>
      </c>
      <c r="F16" s="51"/>
      <c r="G16" s="51"/>
      <c r="H16" s="52">
        <f ca="1">IFERROR(__xludf.DUMMYFUNCTION("MAX(IF(REGEXMATCH(E16,""^\d{1,2},\d{2}$""),VALUE(E16),0),IF(REGEXMATCH(F16,""^\d{1,2},\d{2}$""),VALUE(F16),0),IF(REGEXMATCH(G16,""^\d{1,2},\d{2}$""),VALUE(G16),0))"),18.04)</f>
        <v>18.04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614</v>
      </c>
      <c r="D17" s="44" t="s">
        <v>26</v>
      </c>
      <c r="E17" s="51" t="s">
        <v>689</v>
      </c>
      <c r="F17" s="51"/>
      <c r="G17" s="51"/>
      <c r="H17" s="52">
        <f ca="1">IFERROR(__xludf.DUMMYFUNCTION("MAX(IF(REGEXMATCH(E17,""^\d{1,2},\d{2}$""),VALUE(E17),0),IF(REGEXMATCH(F17,""^\d{1,2},\d{2}$""),VALUE(F17),0),IF(REGEXMATCH(G17,""^\d{1,2},\d{2}$""),VALUE(G17),0))"),26.91)</f>
        <v>26.91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510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690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18.740000000000002</v>
      </c>
      <c r="J20" s="26">
        <f ca="1">IF(I20=0,"",RANK(I20,$I$4:$I$35,))</f>
        <v>3</v>
      </c>
    </row>
    <row r="21" spans="1:10" ht="13.2" x14ac:dyDescent="0.25">
      <c r="A21" s="17"/>
      <c r="B21" s="28">
        <v>1</v>
      </c>
      <c r="C21" s="29" t="s">
        <v>691</v>
      </c>
      <c r="D21" s="44" t="s">
        <v>18</v>
      </c>
      <c r="E21" s="51" t="s">
        <v>692</v>
      </c>
      <c r="F21" s="51"/>
      <c r="G21" s="51"/>
      <c r="H21" s="52">
        <f ca="1">IFERROR(__xludf.DUMMYFUNCTION("MAX(IF(REGEXMATCH(E21,""^\d{1,2},\d{2}$""),VALUE(E21),0),IF(REGEXMATCH(F21,""^\d{1,2},\d{2}$""),VALUE(F21),0),IF(REGEXMATCH(G21,""^\d{1,2},\d{2}$""),VALUE(G21),0))"),19.75)</f>
        <v>19.75</v>
      </c>
      <c r="I21" s="21"/>
      <c r="J21" s="22"/>
    </row>
    <row r="22" spans="1:10" ht="13.2" x14ac:dyDescent="0.25">
      <c r="A22" s="17"/>
      <c r="B22" s="28">
        <v>2</v>
      </c>
      <c r="C22" s="29" t="s">
        <v>693</v>
      </c>
      <c r="D22" s="44" t="s">
        <v>26</v>
      </c>
      <c r="E22" s="51" t="s">
        <v>694</v>
      </c>
      <c r="F22" s="51"/>
      <c r="G22" s="51"/>
      <c r="H22" s="52">
        <f ca="1">IFERROR(__xludf.DUMMYFUNCTION("MAX(IF(REGEXMATCH(E22,""^\d{1,2},\d{2}$""),VALUE(E22),0),IF(REGEXMATCH(F22,""^\d{1,2},\d{2}$""),VALUE(F22),0),IF(REGEXMATCH(G22,""^\d{1,2},\d{2}$""),VALUE(G22),0))"),19)</f>
        <v>19</v>
      </c>
      <c r="I22" s="21"/>
      <c r="J22" s="22"/>
    </row>
    <row r="23" spans="1:10" ht="13.2" x14ac:dyDescent="0.25">
      <c r="A23" s="17"/>
      <c r="B23" s="28">
        <v>3</v>
      </c>
      <c r="C23" s="29" t="s">
        <v>695</v>
      </c>
      <c r="D23" s="44" t="s">
        <v>26</v>
      </c>
      <c r="E23" s="51" t="s">
        <v>696</v>
      </c>
      <c r="F23" s="51"/>
      <c r="G23" s="51"/>
      <c r="H23" s="52">
        <f ca="1">IFERROR(__xludf.DUMMYFUNCTION("MAX(IF(REGEXMATCH(E23,""^\d{1,2},\d{2}$""),VALUE(E23),0),IF(REGEXMATCH(F23,""^\d{1,2},\d{2}$""),VALUE(F23),0),IF(REGEXMATCH(G23,""^\d{1,2},\d{2}$""),VALUE(G23),0))"),18.54)</f>
        <v>18.54</v>
      </c>
      <c r="I23" s="21"/>
      <c r="J23" s="22"/>
    </row>
    <row r="24" spans="1:10" ht="13.2" x14ac:dyDescent="0.25">
      <c r="A24" s="17"/>
      <c r="B24" s="28">
        <v>4</v>
      </c>
      <c r="C24" s="29" t="s">
        <v>523</v>
      </c>
      <c r="D24" s="44" t="s">
        <v>18</v>
      </c>
      <c r="E24" s="51" t="s">
        <v>697</v>
      </c>
      <c r="F24" s="51"/>
      <c r="G24" s="51"/>
      <c r="H24" s="52">
        <f ca="1">IFERROR(__xludf.DUMMYFUNCTION("MAX(IF(REGEXMATCH(E24,""^\d{1,2},\d{2}$""),VALUE(E24),0),IF(REGEXMATCH(F24,""^\d{1,2},\d{2}$""),VALUE(F24),0),IF(REGEXMATCH(G24,""^\d{1,2},\d{2}$""),VALUE(G24),0))"),17.67)</f>
        <v>17.670000000000002</v>
      </c>
      <c r="I24" s="21"/>
      <c r="J24" s="22"/>
    </row>
    <row r="25" spans="1:10" ht="13.2" x14ac:dyDescent="0.25">
      <c r="A25" s="17"/>
      <c r="B25" s="28">
        <v>5</v>
      </c>
      <c r="C25" s="29"/>
      <c r="D25" s="44"/>
      <c r="E25" s="51"/>
      <c r="F25" s="51"/>
      <c r="G25" s="51"/>
      <c r="H25" s="52">
        <f ca="1">IFERROR(__xludf.DUMMYFUNCTION("MAX(IF(REGEXMATCH(E25,""^\d{1,2},\d{2}$""),VALUE(E25),0),IF(REGEXMATCH(F25,""^\d{1,2},\d{2}$""),VALUE(F25),0),IF(REGEXMATCH(G25,""^\d{1,2},\d{2}$""),VALUE(G25),0))"),0)</f>
        <v>0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491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8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17.732500000000002</v>
      </c>
      <c r="J28" s="26">
        <f ca="1">IF(I28=0,"",RANK(I28,$I$4:$I$35,))</f>
        <v>4</v>
      </c>
    </row>
    <row r="29" spans="1:10" ht="13.2" x14ac:dyDescent="0.25">
      <c r="A29" s="17"/>
      <c r="B29" s="28">
        <v>1</v>
      </c>
      <c r="C29" s="29" t="s">
        <v>698</v>
      </c>
      <c r="D29" s="44" t="s">
        <v>18</v>
      </c>
      <c r="E29" s="51" t="s">
        <v>699</v>
      </c>
      <c r="F29" s="51"/>
      <c r="G29" s="51"/>
      <c r="H29" s="52">
        <f ca="1">IFERROR(__xludf.DUMMYFUNCTION("MAX(IF(REGEXMATCH(E29,""^\d{1,2},\d{2}$""),VALUE(E29),0),IF(REGEXMATCH(F29,""^\d{1,2},\d{2}$""),VALUE(F29),0),IF(REGEXMATCH(G29,""^\d{1,2},\d{2}$""),VALUE(G29),0))"),16.07)</f>
        <v>16.07</v>
      </c>
      <c r="I29" s="21"/>
      <c r="J29" s="22"/>
    </row>
    <row r="30" spans="1:10" ht="13.2" x14ac:dyDescent="0.25">
      <c r="A30" s="17"/>
      <c r="B30" s="28">
        <v>2</v>
      </c>
      <c r="C30" s="29" t="s">
        <v>586</v>
      </c>
      <c r="D30" s="44" t="s">
        <v>18</v>
      </c>
      <c r="E30" s="51" t="s">
        <v>700</v>
      </c>
      <c r="F30" s="51"/>
      <c r="G30" s="51"/>
      <c r="H30" s="52">
        <f ca="1">IFERROR(__xludf.DUMMYFUNCTION("MAX(IF(REGEXMATCH(E30,""^\d{1,2},\d{2}$""),VALUE(E30),0),IF(REGEXMATCH(F30,""^\d{1,2},\d{2}$""),VALUE(F30),0),IF(REGEXMATCH(G30,""^\d{1,2},\d{2}$""),VALUE(G30),0))"),20.3)</f>
        <v>20.3</v>
      </c>
      <c r="I30" s="21"/>
      <c r="J30" s="22"/>
    </row>
    <row r="31" spans="1:10" ht="13.2" x14ac:dyDescent="0.25">
      <c r="A31" s="17"/>
      <c r="B31" s="28">
        <v>3</v>
      </c>
      <c r="C31" s="29" t="s">
        <v>589</v>
      </c>
      <c r="D31" s="44" t="s">
        <v>18</v>
      </c>
      <c r="E31" s="51" t="s">
        <v>701</v>
      </c>
      <c r="F31" s="51"/>
      <c r="G31" s="51"/>
      <c r="H31" s="52">
        <f ca="1">IFERROR(__xludf.DUMMYFUNCTION("MAX(IF(REGEXMATCH(E31,""^\d{1,2},\d{2}$""),VALUE(E31),0),IF(REGEXMATCH(F31,""^\d{1,2},\d{2}$""),VALUE(F31),0),IF(REGEXMATCH(G31,""^\d{1,2},\d{2}$""),VALUE(G31),0))"),18.52)</f>
        <v>18.52</v>
      </c>
      <c r="I31" s="21"/>
      <c r="J31" s="22"/>
    </row>
    <row r="32" spans="1:10" ht="13.2" x14ac:dyDescent="0.25">
      <c r="A32" s="17"/>
      <c r="B32" s="28">
        <v>4</v>
      </c>
      <c r="C32" s="29" t="s">
        <v>593</v>
      </c>
      <c r="D32" s="44" t="s">
        <v>18</v>
      </c>
      <c r="E32" s="51" t="s">
        <v>702</v>
      </c>
      <c r="F32" s="51"/>
      <c r="G32" s="51"/>
      <c r="H32" s="52">
        <f ca="1">IFERROR(__xludf.DUMMYFUNCTION("MAX(IF(REGEXMATCH(E32,""^\d{1,2},\d{2}$""),VALUE(E32),0),IF(REGEXMATCH(F32,""^\d{1,2},\d{2}$""),VALUE(F32),0),IF(REGEXMATCH(G32,""^\d{1,2},\d{2}$""),VALUE(G32),0))"),16.04)</f>
        <v>16.04</v>
      </c>
      <c r="I32" s="21"/>
      <c r="J32" s="22"/>
    </row>
    <row r="33" spans="1:10" ht="13.2" x14ac:dyDescent="0.25">
      <c r="A33" s="17"/>
      <c r="B33" s="28">
        <v>5</v>
      </c>
      <c r="C33" s="29"/>
      <c r="D33" s="44"/>
      <c r="E33" s="51"/>
      <c r="F33" s="51"/>
      <c r="G33" s="51"/>
      <c r="H33" s="52">
        <f ca="1">IFERROR(__xludf.DUMMYFUNCTION("MAX(IF(REGEXMATCH(E33,""^\d{1,2},\d{2}$""),VALUE(E33),0),IF(REGEXMATCH(F33,""^\d{1,2},\d{2}$""),VALUE(F33),0),IF(REGEXMATCH(G33,""^\d{1,2},\d{2}$""),VALUE(G33),0))"),0)</f>
        <v>0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23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3.2" x14ac:dyDescent="0.25">
      <c r="A36" s="17"/>
      <c r="B36" s="17"/>
      <c r="D36" s="18"/>
      <c r="E36" s="18"/>
      <c r="F36" s="18"/>
      <c r="G36" s="18"/>
      <c r="H36" s="49"/>
      <c r="I36" s="21"/>
      <c r="J36" s="22"/>
    </row>
    <row r="37" spans="1:10" ht="13.2" x14ac:dyDescent="0.25">
      <c r="A37" s="17"/>
      <c r="B37" s="17"/>
      <c r="D37" s="18"/>
      <c r="E37" s="18"/>
      <c r="F37" s="18"/>
      <c r="G37" s="18"/>
      <c r="H37" s="49"/>
      <c r="I37" s="21"/>
      <c r="J37" s="22"/>
    </row>
    <row r="38" spans="1:10" ht="13.2" x14ac:dyDescent="0.25">
      <c r="A38" s="17"/>
      <c r="B38" s="17"/>
      <c r="D38" s="18"/>
      <c r="E38" s="18"/>
      <c r="F38" s="18"/>
      <c r="G38" s="18"/>
      <c r="H38" s="49"/>
      <c r="I38" s="21"/>
      <c r="J38" s="22"/>
    </row>
    <row r="39" spans="1:10" ht="13.2" x14ac:dyDescent="0.25">
      <c r="A39" s="17"/>
      <c r="B39" s="17"/>
      <c r="D39" s="18"/>
      <c r="E39" s="18"/>
      <c r="F39" s="18"/>
      <c r="G39" s="18"/>
      <c r="H39" s="49"/>
      <c r="I39" s="21"/>
      <c r="J39" s="22"/>
    </row>
    <row r="40" spans="1:10" ht="13.2" x14ac:dyDescent="0.25">
      <c r="A40" s="17"/>
      <c r="B40" s="17"/>
      <c r="D40" s="18"/>
      <c r="E40" s="18"/>
      <c r="F40" s="18"/>
      <c r="G40" s="18"/>
      <c r="H40" s="49"/>
      <c r="I40" s="21"/>
      <c r="J40" s="22"/>
    </row>
    <row r="41" spans="1:10" ht="13.2" x14ac:dyDescent="0.25">
      <c r="A41" s="17"/>
      <c r="B41" s="17"/>
      <c r="D41" s="18"/>
      <c r="E41" s="18"/>
      <c r="F41" s="18"/>
      <c r="G41" s="18"/>
      <c r="H41" s="49"/>
      <c r="I41" s="21"/>
      <c r="J41" s="22"/>
    </row>
    <row r="42" spans="1:10" ht="13.2" x14ac:dyDescent="0.25">
      <c r="A42" s="17"/>
      <c r="B42" s="17"/>
      <c r="D42" s="18"/>
      <c r="E42" s="18"/>
      <c r="F42" s="18"/>
      <c r="G42" s="18"/>
      <c r="H42" s="49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3.2" x14ac:dyDescent="0.25">
      <c r="A44" s="17"/>
      <c r="B44" s="17"/>
      <c r="D44" s="18"/>
      <c r="E44" s="18"/>
      <c r="F44" s="18"/>
      <c r="G44" s="18"/>
      <c r="H44" s="49"/>
      <c r="I44" s="21"/>
      <c r="J44" s="22"/>
    </row>
    <row r="45" spans="1:10" ht="13.2" x14ac:dyDescent="0.25">
      <c r="A45" s="17"/>
      <c r="B45" s="17"/>
      <c r="D45" s="18"/>
      <c r="E45" s="18"/>
      <c r="F45" s="18"/>
      <c r="G45" s="18"/>
      <c r="H45" s="49"/>
      <c r="I45" s="21"/>
      <c r="J45" s="22"/>
    </row>
    <row r="46" spans="1:10" ht="13.2" x14ac:dyDescent="0.25">
      <c r="A46" s="17"/>
      <c r="B46" s="17"/>
      <c r="D46" s="18"/>
      <c r="E46" s="18"/>
      <c r="F46" s="18"/>
      <c r="G46" s="18"/>
      <c r="H46" s="49"/>
      <c r="I46" s="21"/>
      <c r="J46" s="22"/>
    </row>
    <row r="47" spans="1:10" ht="13.2" x14ac:dyDescent="0.25">
      <c r="A47" s="17"/>
      <c r="B47" s="17"/>
      <c r="D47" s="18"/>
      <c r="E47" s="18"/>
      <c r="F47" s="18"/>
      <c r="G47" s="18"/>
      <c r="H47" s="49"/>
      <c r="I47" s="21"/>
      <c r="J47" s="22"/>
    </row>
    <row r="48" spans="1:10" ht="13.2" x14ac:dyDescent="0.25">
      <c r="A48" s="17"/>
      <c r="B48" s="17"/>
      <c r="D48" s="18"/>
      <c r="E48" s="18"/>
      <c r="F48" s="18"/>
      <c r="G48" s="18"/>
      <c r="H48" s="49"/>
      <c r="I48" s="21"/>
      <c r="J48" s="22"/>
    </row>
    <row r="49" spans="1:10" ht="13.2" x14ac:dyDescent="0.25">
      <c r="A49" s="17"/>
      <c r="B49" s="17"/>
      <c r="D49" s="18"/>
      <c r="E49" s="18"/>
      <c r="F49" s="18"/>
      <c r="G49" s="18"/>
      <c r="H49" s="49"/>
      <c r="I49" s="21"/>
      <c r="J49" s="22"/>
    </row>
    <row r="50" spans="1:10" ht="13.2" x14ac:dyDescent="0.25">
      <c r="A50" s="17"/>
      <c r="B50" s="17"/>
      <c r="D50" s="18"/>
      <c r="E50" s="18"/>
      <c r="F50" s="18"/>
      <c r="G50" s="18"/>
      <c r="H50" s="49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3.2" x14ac:dyDescent="0.25">
      <c r="A52" s="17"/>
      <c r="B52" s="17"/>
      <c r="D52" s="18"/>
      <c r="E52" s="18"/>
      <c r="F52" s="18"/>
      <c r="G52" s="18"/>
      <c r="H52" s="49"/>
      <c r="I52" s="21"/>
      <c r="J52" s="22"/>
    </row>
    <row r="53" spans="1:10" ht="13.2" x14ac:dyDescent="0.25">
      <c r="A53" s="17"/>
      <c r="B53" s="17"/>
      <c r="D53" s="18"/>
      <c r="E53" s="18"/>
      <c r="F53" s="18"/>
      <c r="G53" s="18"/>
      <c r="H53" s="49"/>
      <c r="I53" s="21"/>
      <c r="J53" s="22"/>
    </row>
    <row r="54" spans="1:10" ht="13.2" x14ac:dyDescent="0.25">
      <c r="A54" s="17"/>
      <c r="B54" s="17"/>
      <c r="D54" s="18"/>
      <c r="E54" s="18"/>
      <c r="F54" s="18"/>
      <c r="G54" s="18"/>
      <c r="H54" s="49"/>
      <c r="I54" s="21"/>
      <c r="J54" s="22"/>
    </row>
    <row r="55" spans="1:10" ht="13.2" x14ac:dyDescent="0.25">
      <c r="A55" s="17"/>
      <c r="B55" s="17"/>
      <c r="D55" s="18"/>
      <c r="E55" s="18"/>
      <c r="F55" s="18"/>
      <c r="G55" s="18"/>
      <c r="H55" s="49"/>
      <c r="I55" s="21"/>
      <c r="J55" s="22"/>
    </row>
    <row r="56" spans="1:10" ht="13.2" x14ac:dyDescent="0.25">
      <c r="A56" s="17"/>
      <c r="B56" s="17"/>
      <c r="D56" s="18"/>
      <c r="E56" s="18"/>
      <c r="F56" s="18"/>
      <c r="G56" s="18"/>
      <c r="H56" s="49"/>
      <c r="I56" s="21"/>
      <c r="J56" s="22"/>
    </row>
    <row r="57" spans="1:10" ht="13.2" x14ac:dyDescent="0.25">
      <c r="A57" s="17"/>
      <c r="B57" s="17"/>
      <c r="D57" s="18"/>
      <c r="E57" s="18"/>
      <c r="F57" s="18"/>
      <c r="G57" s="18"/>
      <c r="H57" s="49"/>
      <c r="I57" s="21"/>
      <c r="J57" s="22"/>
    </row>
    <row r="58" spans="1:10" ht="13.2" x14ac:dyDescent="0.25">
      <c r="A58" s="17"/>
      <c r="B58" s="17"/>
      <c r="D58" s="18"/>
      <c r="E58" s="18"/>
      <c r="F58" s="18"/>
      <c r="G58" s="18"/>
      <c r="H58" s="49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3.2" x14ac:dyDescent="0.25">
      <c r="A60" s="17"/>
      <c r="B60" s="17"/>
      <c r="D60" s="18"/>
      <c r="E60" s="18"/>
      <c r="F60" s="18"/>
      <c r="G60" s="18"/>
      <c r="H60" s="49"/>
      <c r="I60" s="21"/>
      <c r="J60" s="22"/>
    </row>
    <row r="61" spans="1:10" ht="13.2" x14ac:dyDescent="0.25">
      <c r="A61" s="17"/>
      <c r="B61" s="17"/>
      <c r="D61" s="18"/>
      <c r="E61" s="18"/>
      <c r="F61" s="18"/>
      <c r="G61" s="18"/>
      <c r="H61" s="49"/>
      <c r="I61" s="21"/>
      <c r="J61" s="22"/>
    </row>
    <row r="62" spans="1:10" ht="13.2" x14ac:dyDescent="0.25">
      <c r="A62" s="17"/>
      <c r="B62" s="17"/>
      <c r="D62" s="18"/>
      <c r="E62" s="18"/>
      <c r="F62" s="18"/>
      <c r="G62" s="18"/>
      <c r="H62" s="49"/>
      <c r="I62" s="21"/>
      <c r="J62" s="22"/>
    </row>
    <row r="63" spans="1:10" ht="13.2" x14ac:dyDescent="0.25">
      <c r="A63" s="17"/>
      <c r="B63" s="17"/>
      <c r="D63" s="18"/>
      <c r="E63" s="18"/>
      <c r="F63" s="18"/>
      <c r="G63" s="18"/>
      <c r="H63" s="49"/>
      <c r="I63" s="21"/>
      <c r="J63" s="22"/>
    </row>
    <row r="64" spans="1:10" ht="13.2" x14ac:dyDescent="0.25">
      <c r="A64" s="17"/>
      <c r="B64" s="17"/>
      <c r="D64" s="18"/>
      <c r="E64" s="18"/>
      <c r="F64" s="18"/>
      <c r="G64" s="18"/>
      <c r="H64" s="49"/>
      <c r="I64" s="21"/>
      <c r="J64" s="22"/>
    </row>
    <row r="65" spans="1:10" ht="13.2" x14ac:dyDescent="0.25">
      <c r="A65" s="17"/>
      <c r="B65" s="17"/>
      <c r="D65" s="18"/>
      <c r="E65" s="18"/>
      <c r="F65" s="18"/>
      <c r="G65" s="18"/>
      <c r="H65" s="49"/>
      <c r="I65" s="21"/>
      <c r="J65" s="22"/>
    </row>
    <row r="66" spans="1:10" ht="13.2" x14ac:dyDescent="0.25">
      <c r="A66" s="17"/>
      <c r="B66" s="17"/>
      <c r="D66" s="18"/>
      <c r="E66" s="18"/>
      <c r="F66" s="18"/>
      <c r="G66" s="18"/>
      <c r="H66" s="49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</sheetData>
  <mergeCells count="4">
    <mergeCell ref="B4:G4"/>
    <mergeCell ref="B12:G12"/>
    <mergeCell ref="B20:G20"/>
    <mergeCell ref="B28:G28"/>
  </mergeCells>
  <conditionalFormatting sqref="L13">
    <cfRule type="notContainsBlanks" dxfId="1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" xr:uid="{00000000-0002-0000-0A00-000000000000}">
      <formula1>OR(D5 = "2006", D5="2007",  D5="2008", D5="2009", D5="2010", D5="2011")</formula1>
    </dataValidation>
    <dataValidation type="custom" allowBlank="1" showDropDown="1" showInputMessage="1" showErrorMessage="1" prompt="Csak szám, (12,33), x. és - jel használható!" sqref="E5:G9 E13:G17 E21:G25 E29:G33" xr:uid="{00000000-0002-0000-0A00-000001000000}">
      <formula1>REGEXMATCH(E5,"^\d{1,2},\d{2}$|^x$|^X$|^-$")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1C232"/>
    <outlinePr summaryBelow="0" summaryRight="0"/>
  </sheetPr>
  <dimension ref="A1:AA747"/>
  <sheetViews>
    <sheetView workbookViewId="0">
      <pane ySplit="3" topLeftCell="A4" activePane="bottomLeft" state="frozen"/>
      <selection pane="bottomLeft" activeCell="A28" sqref="A28:XFD304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2" t="s">
        <v>703</v>
      </c>
      <c r="B1" s="63"/>
      <c r="C1" s="64"/>
      <c r="D1" s="65"/>
      <c r="E1" s="66"/>
      <c r="F1" s="66"/>
      <c r="G1" s="66"/>
      <c r="H1" s="70"/>
      <c r="I1" s="69"/>
      <c r="J1" s="70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35</v>
      </c>
      <c r="C4" s="73"/>
      <c r="D4" s="73"/>
      <c r="E4" s="73"/>
      <c r="F4" s="73"/>
      <c r="G4" s="74"/>
      <c r="H4" s="50"/>
      <c r="I4" s="25">
        <f ca="1">IF(COUNTIFS(H5:H9,"&gt;0") &gt; 3, FLOOR((SUM(H5:H9)-MIN(H5,H6,H7,H8,H9))/4,0.0001), )</f>
        <v>22.392500000000002</v>
      </c>
      <c r="J4" s="26">
        <f ca="1">IF(I4=0,"",RANK(I4,$I$4:$I$27,))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512</v>
      </c>
      <c r="D5" s="44" t="s">
        <v>10</v>
      </c>
      <c r="E5" s="51" t="s">
        <v>704</v>
      </c>
      <c r="F5" s="51" t="s">
        <v>314</v>
      </c>
      <c r="G5" s="51" t="s">
        <v>314</v>
      </c>
      <c r="H5" s="52">
        <f ca="1">IFERROR(__xludf.DUMMYFUNCTION("MAX(IF(REGEXMATCH(E5,""^\d{1,2},\d{2}$""),VALUE(E5),0),IF(REGEXMATCH(F5,""^\d{1,2},\d{2}$""),VALUE(F5),0),IF(REGEXMATCH(G5,""^\d{1,2},\d{2}$""),VALUE(G5),0))"),25.33)</f>
        <v>25.33</v>
      </c>
      <c r="I5" s="21"/>
      <c r="J5" s="22"/>
    </row>
    <row r="6" spans="1:27" ht="18.75" customHeight="1" x14ac:dyDescent="0.25">
      <c r="A6" s="17"/>
      <c r="B6" s="28">
        <v>2</v>
      </c>
      <c r="C6" s="29" t="s">
        <v>486</v>
      </c>
      <c r="D6" s="44" t="s">
        <v>26</v>
      </c>
      <c r="E6" s="51" t="s">
        <v>705</v>
      </c>
      <c r="F6" s="51" t="s">
        <v>314</v>
      </c>
      <c r="G6" s="51" t="s">
        <v>314</v>
      </c>
      <c r="H6" s="52">
        <f ca="1">IFERROR(__xludf.DUMMYFUNCTION("MAX(IF(REGEXMATCH(E6,""^\d{1,2},\d{2}$""),VALUE(E6),0),IF(REGEXMATCH(F6,""^\d{1,2},\d{2}$""),VALUE(F6),0),IF(REGEXMATCH(G6,""^\d{1,2},\d{2}$""),VALUE(G6),0))"),19.42)</f>
        <v>19.420000000000002</v>
      </c>
      <c r="I6" s="21"/>
      <c r="J6" s="22"/>
    </row>
    <row r="7" spans="1:27" ht="18.75" customHeight="1" x14ac:dyDescent="0.25">
      <c r="A7" s="17"/>
      <c r="B7" s="28">
        <v>3</v>
      </c>
      <c r="C7" s="29" t="s">
        <v>682</v>
      </c>
      <c r="D7" s="44" t="s">
        <v>26</v>
      </c>
      <c r="E7" s="51" t="s">
        <v>706</v>
      </c>
      <c r="F7" s="51" t="s">
        <v>314</v>
      </c>
      <c r="G7" s="51" t="s">
        <v>314</v>
      </c>
      <c r="H7" s="52">
        <f ca="1">IFERROR(__xludf.DUMMYFUNCTION("MAX(IF(REGEXMATCH(E7,""^\d{1,2},\d{2}$""),VALUE(E7),0),IF(REGEXMATCH(F7,""^\d{1,2},\d{2}$""),VALUE(F7),0),IF(REGEXMATCH(G7,""^\d{1,2},\d{2}$""),VALUE(G7),0))"),20.45)</f>
        <v>20.45</v>
      </c>
      <c r="I7" s="21"/>
      <c r="J7" s="22"/>
    </row>
    <row r="8" spans="1:27" ht="18.75" customHeight="1" x14ac:dyDescent="0.25">
      <c r="A8" s="17"/>
      <c r="B8" s="28">
        <v>4</v>
      </c>
      <c r="C8" s="29" t="s">
        <v>707</v>
      </c>
      <c r="D8" s="44" t="s">
        <v>26</v>
      </c>
      <c r="E8" s="51" t="s">
        <v>708</v>
      </c>
      <c r="F8" s="51" t="s">
        <v>314</v>
      </c>
      <c r="G8" s="51" t="s">
        <v>314</v>
      </c>
      <c r="H8" s="52">
        <f ca="1">IFERROR(__xludf.DUMMYFUNCTION("MAX(IF(REGEXMATCH(E8,""^\d{1,2},\d{2}$""),VALUE(E8),0),IF(REGEXMATCH(F8,""^\d{1,2},\d{2}$""),VALUE(F8),0),IF(REGEXMATCH(G8,""^\d{1,2},\d{2}$""),VALUE(G8),0))"),16.01)</f>
        <v>16.010000000000002</v>
      </c>
      <c r="I8" s="21"/>
      <c r="J8" s="22"/>
    </row>
    <row r="9" spans="1:27" ht="18.75" customHeight="1" x14ac:dyDescent="0.25">
      <c r="A9" s="17"/>
      <c r="B9" s="28">
        <v>5</v>
      </c>
      <c r="C9" s="29" t="s">
        <v>709</v>
      </c>
      <c r="D9" s="44" t="s">
        <v>15</v>
      </c>
      <c r="E9" s="51" t="s">
        <v>710</v>
      </c>
      <c r="F9" s="51" t="s">
        <v>314</v>
      </c>
      <c r="G9" s="51" t="s">
        <v>314</v>
      </c>
      <c r="H9" s="52">
        <f ca="1">IFERROR(__xludf.DUMMYFUNCTION("MAX(IF(REGEXMATCH(E9,""^\d{1,2},\d{2}$""),VALUE(E9),0),IF(REGEXMATCH(F9,""^\d{1,2},\d{2}$""),VALUE(F9),0),IF(REGEXMATCH(G9,""^\d{1,2},\d{2}$""),VALUE(G9),0))"),24.37)</f>
        <v>24.37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491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345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20.875</v>
      </c>
      <c r="J12" s="26">
        <f ca="1">IF(I12=0,"",RANK(I12,$I$4:$I$27,))</f>
        <v>2</v>
      </c>
    </row>
    <row r="13" spans="1:27" ht="18.75" customHeight="1" x14ac:dyDescent="0.25">
      <c r="A13" s="17"/>
      <c r="B13" s="28">
        <v>1</v>
      </c>
      <c r="C13" s="29" t="s">
        <v>711</v>
      </c>
      <c r="D13" s="44" t="s">
        <v>10</v>
      </c>
      <c r="E13" s="51" t="s">
        <v>712</v>
      </c>
      <c r="F13" s="51"/>
      <c r="G13" s="51"/>
      <c r="H13" s="52">
        <f ca="1">IFERROR(__xludf.DUMMYFUNCTION("MAX(IF(REGEXMATCH(E13,""^\d{1,2},\d{2}$""),VALUE(E13),0),IF(REGEXMATCH(F13,""^\d{1,2},\d{2}$""),VALUE(F13),0),IF(REGEXMATCH(G13,""^\d{1,2},\d{2}$""),VALUE(G13),0))"),23.65)</f>
        <v>23.65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713</v>
      </c>
      <c r="D14" s="44" t="s">
        <v>18</v>
      </c>
      <c r="E14" s="51" t="s">
        <v>714</v>
      </c>
      <c r="F14" s="51"/>
      <c r="G14" s="51"/>
      <c r="H14" s="52">
        <f ca="1">IFERROR(__xludf.DUMMYFUNCTION("MAX(IF(REGEXMATCH(E14,""^\d{1,2},\d{2}$""),VALUE(E14),0),IF(REGEXMATCH(F14,""^\d{1,2},\d{2}$""),VALUE(F14),0),IF(REGEXMATCH(G14,""^\d{1,2},\d{2}$""),VALUE(G14),0))"),18.84)</f>
        <v>18.84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715</v>
      </c>
      <c r="D15" s="44" t="s">
        <v>10</v>
      </c>
      <c r="E15" s="51" t="s">
        <v>716</v>
      </c>
      <c r="F15" s="51"/>
      <c r="G15" s="51"/>
      <c r="H15" s="52">
        <f ca="1">IFERROR(__xludf.DUMMYFUNCTION("MAX(IF(REGEXMATCH(E15,""^\d{1,2},\d{2}$""),VALUE(E15),0),IF(REGEXMATCH(F15,""^\d{1,2},\d{2}$""),VALUE(F15),0),IF(REGEXMATCH(G15,""^\d{1,2},\d{2}$""),VALUE(G15),0))"),23.23)</f>
        <v>23.23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717</v>
      </c>
      <c r="D16" s="44" t="s">
        <v>32</v>
      </c>
      <c r="E16" s="51" t="s">
        <v>718</v>
      </c>
      <c r="F16" s="51"/>
      <c r="G16" s="51"/>
      <c r="H16" s="52">
        <f ca="1">IFERROR(__xludf.DUMMYFUNCTION("MAX(IF(REGEXMATCH(E16,""^\d{1,2},\d{2}$""),VALUE(E16),0),IF(REGEXMATCH(F16,""^\d{1,2},\d{2}$""),VALUE(F16),0),IF(REGEXMATCH(G16,""^\d{1,2},\d{2}$""),VALUE(G16),0))"),17.78)</f>
        <v>17.78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719</v>
      </c>
      <c r="D17" s="44" t="s">
        <v>15</v>
      </c>
      <c r="E17" s="51" t="s">
        <v>720</v>
      </c>
      <c r="F17" s="51"/>
      <c r="G17" s="51"/>
      <c r="H17" s="52">
        <f ca="1">IFERROR(__xludf.DUMMYFUNCTION("MAX(IF(REGEXMATCH(E17,""^\d{1,2},\d{2}$""),VALUE(E17),0),IF(REGEXMATCH(F17,""^\d{1,2},\d{2}$""),VALUE(F17),0),IF(REGEXMATCH(G17,""^\d{1,2},\d{2}$""),VALUE(G17),0))"),14.51)</f>
        <v>14.51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34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368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16.935000000000002</v>
      </c>
      <c r="J20" s="26">
        <f ca="1">IF(I20=0,"",RANK(I20,$I$4:$I$27,))</f>
        <v>3</v>
      </c>
    </row>
    <row r="21" spans="1:10" ht="13.2" x14ac:dyDescent="0.25">
      <c r="A21" s="17"/>
      <c r="B21" s="28">
        <v>1</v>
      </c>
      <c r="C21" s="29" t="s">
        <v>721</v>
      </c>
      <c r="D21" s="44" t="s">
        <v>18</v>
      </c>
      <c r="E21" s="51" t="s">
        <v>722</v>
      </c>
      <c r="F21" s="51"/>
      <c r="G21" s="51"/>
      <c r="H21" s="52">
        <f ca="1">IFERROR(__xludf.DUMMYFUNCTION("MAX(IF(REGEXMATCH(E21,""^\d{1,2},\d{2}$""),VALUE(E21),0),IF(REGEXMATCH(F21,""^\d{1,2},\d{2}$""),VALUE(F21),0),IF(REGEXMATCH(G21,""^\d{1,2},\d{2}$""),VALUE(G21),0))"),17.96)</f>
        <v>17.96</v>
      </c>
      <c r="I21" s="21"/>
      <c r="J21" s="22"/>
    </row>
    <row r="22" spans="1:10" ht="13.2" x14ac:dyDescent="0.25">
      <c r="A22" s="17"/>
      <c r="B22" s="28">
        <v>2</v>
      </c>
      <c r="C22" s="29" t="s">
        <v>723</v>
      </c>
      <c r="D22" s="44" t="s">
        <v>18</v>
      </c>
      <c r="E22" s="51" t="s">
        <v>724</v>
      </c>
      <c r="F22" s="51"/>
      <c r="G22" s="51"/>
      <c r="H22" s="52">
        <f ca="1">IFERROR(__xludf.DUMMYFUNCTION("MAX(IF(REGEXMATCH(E22,""^\d{1,2},\d{2}$""),VALUE(E22),0),IF(REGEXMATCH(F22,""^\d{1,2},\d{2}$""),VALUE(F22),0),IF(REGEXMATCH(G22,""^\d{1,2},\d{2}$""),VALUE(G22),0))"),17.07)</f>
        <v>17.07</v>
      </c>
      <c r="I22" s="21"/>
      <c r="J22" s="22"/>
    </row>
    <row r="23" spans="1:10" ht="13.2" x14ac:dyDescent="0.25">
      <c r="A23" s="17"/>
      <c r="B23" s="28">
        <v>3</v>
      </c>
      <c r="C23" s="29" t="s">
        <v>725</v>
      </c>
      <c r="D23" s="44" t="s">
        <v>15</v>
      </c>
      <c r="E23" s="51" t="s">
        <v>726</v>
      </c>
      <c r="F23" s="51"/>
      <c r="G23" s="51"/>
      <c r="H23" s="52">
        <f ca="1">IFERROR(__xludf.DUMMYFUNCTION("MAX(IF(REGEXMATCH(E23,""^\d{1,2},\d{2}$""),VALUE(E23),0),IF(REGEXMATCH(F23,""^\d{1,2},\d{2}$""),VALUE(F23),0),IF(REGEXMATCH(G23,""^\d{1,2},\d{2}$""),VALUE(G23),0))"),18.88)</f>
        <v>18.88</v>
      </c>
      <c r="I23" s="21"/>
      <c r="J23" s="22"/>
    </row>
    <row r="24" spans="1:10" ht="13.2" x14ac:dyDescent="0.25">
      <c r="A24" s="17"/>
      <c r="B24" s="28">
        <v>4</v>
      </c>
      <c r="C24" s="29" t="s">
        <v>727</v>
      </c>
      <c r="D24" s="44" t="s">
        <v>18</v>
      </c>
      <c r="E24" s="51" t="s">
        <v>728</v>
      </c>
      <c r="F24" s="51"/>
      <c r="G24" s="51"/>
      <c r="H24" s="52">
        <f ca="1">IFERROR(__xludf.DUMMYFUNCTION("MAX(IF(REGEXMATCH(E24,""^\d{1,2},\d{2}$""),VALUE(E24),0),IF(REGEXMATCH(F24,""^\d{1,2},\d{2}$""),VALUE(F24),0),IF(REGEXMATCH(G24,""^\d{1,2},\d{2}$""),VALUE(G24),0))"),13.83)</f>
        <v>13.83</v>
      </c>
      <c r="I24" s="21"/>
      <c r="J24" s="22"/>
    </row>
    <row r="25" spans="1:10" ht="13.2" x14ac:dyDescent="0.25">
      <c r="A25" s="17"/>
      <c r="B25" s="28">
        <v>5</v>
      </c>
      <c r="C25" s="29"/>
      <c r="D25" s="44"/>
      <c r="E25" s="51"/>
      <c r="F25" s="51"/>
      <c r="G25" s="51"/>
      <c r="H25" s="52">
        <f ca="1">IFERROR(__xludf.DUMMYFUNCTION("MAX(IF(REGEXMATCH(E25,""^\d{1,2},\d{2}$""),VALUE(E25),0),IF(REGEXMATCH(F25,""^\d{1,2},\d{2}$""),VALUE(F25),0),IF(REGEXMATCH(G25,""^\d{1,2},\d{2}$""),VALUE(G25),0))"),0)</f>
        <v>0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377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3.2" x14ac:dyDescent="0.25">
      <c r="A28" s="17"/>
      <c r="B28" s="17"/>
      <c r="D28" s="18"/>
      <c r="E28" s="18"/>
      <c r="F28" s="18"/>
      <c r="G28" s="18"/>
      <c r="H28" s="49"/>
      <c r="I28" s="21"/>
      <c r="J28" s="22"/>
    </row>
    <row r="29" spans="1:10" ht="13.2" x14ac:dyDescent="0.25">
      <c r="A29" s="17"/>
      <c r="B29" s="17"/>
      <c r="D29" s="18"/>
      <c r="E29" s="18"/>
      <c r="F29" s="18"/>
      <c r="G29" s="18"/>
      <c r="H29" s="49"/>
      <c r="I29" s="21"/>
      <c r="J29" s="22"/>
    </row>
    <row r="30" spans="1:10" ht="13.2" x14ac:dyDescent="0.25">
      <c r="A30" s="17"/>
      <c r="B30" s="17"/>
      <c r="D30" s="18"/>
      <c r="E30" s="18"/>
      <c r="F30" s="18"/>
      <c r="G30" s="18"/>
      <c r="H30" s="49"/>
      <c r="I30" s="21"/>
      <c r="J30" s="22"/>
    </row>
    <row r="31" spans="1:10" ht="13.2" x14ac:dyDescent="0.25">
      <c r="A31" s="17"/>
      <c r="B31" s="17"/>
      <c r="D31" s="18"/>
      <c r="E31" s="18"/>
      <c r="F31" s="18"/>
      <c r="G31" s="18"/>
      <c r="H31" s="49"/>
      <c r="I31" s="21"/>
      <c r="J31" s="22"/>
    </row>
    <row r="32" spans="1:10" ht="13.2" x14ac:dyDescent="0.25">
      <c r="A32" s="17"/>
      <c r="B32" s="17"/>
      <c r="D32" s="18"/>
      <c r="E32" s="18"/>
      <c r="F32" s="18"/>
      <c r="G32" s="18"/>
      <c r="H32" s="49"/>
      <c r="I32" s="21"/>
      <c r="J32" s="22"/>
    </row>
    <row r="33" spans="1:10" ht="13.2" x14ac:dyDescent="0.25">
      <c r="A33" s="17"/>
      <c r="B33" s="17"/>
      <c r="D33" s="18"/>
      <c r="E33" s="18"/>
      <c r="F33" s="18"/>
      <c r="G33" s="18"/>
      <c r="H33" s="49"/>
      <c r="I33" s="21"/>
      <c r="J33" s="22"/>
    </row>
    <row r="34" spans="1:10" ht="13.2" x14ac:dyDescent="0.25">
      <c r="A34" s="17"/>
      <c r="B34" s="17"/>
      <c r="D34" s="18"/>
      <c r="E34" s="18"/>
      <c r="F34" s="18"/>
      <c r="G34" s="18"/>
      <c r="H34" s="49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3.2" x14ac:dyDescent="0.25">
      <c r="A36" s="17"/>
      <c r="B36" s="17"/>
      <c r="D36" s="18"/>
      <c r="E36" s="18"/>
      <c r="F36" s="18"/>
      <c r="G36" s="18"/>
      <c r="H36" s="49"/>
      <c r="I36" s="21"/>
      <c r="J36" s="22"/>
    </row>
    <row r="37" spans="1:10" ht="13.2" x14ac:dyDescent="0.25">
      <c r="A37" s="17"/>
      <c r="B37" s="17"/>
      <c r="D37" s="18"/>
      <c r="E37" s="18"/>
      <c r="F37" s="18"/>
      <c r="G37" s="18"/>
      <c r="H37" s="49"/>
      <c r="I37" s="21"/>
      <c r="J37" s="22"/>
    </row>
    <row r="38" spans="1:10" ht="13.2" x14ac:dyDescent="0.25">
      <c r="A38" s="17"/>
      <c r="B38" s="17"/>
      <c r="D38" s="18"/>
      <c r="E38" s="18"/>
      <c r="F38" s="18"/>
      <c r="G38" s="18"/>
      <c r="H38" s="49"/>
      <c r="I38" s="21"/>
      <c r="J38" s="22"/>
    </row>
    <row r="39" spans="1:10" ht="13.2" x14ac:dyDescent="0.25">
      <c r="A39" s="17"/>
      <c r="B39" s="17"/>
      <c r="D39" s="18"/>
      <c r="E39" s="18"/>
      <c r="F39" s="18"/>
      <c r="G39" s="18"/>
      <c r="H39" s="49"/>
      <c r="I39" s="21"/>
      <c r="J39" s="22"/>
    </row>
    <row r="40" spans="1:10" ht="13.2" x14ac:dyDescent="0.25">
      <c r="A40" s="17"/>
      <c r="B40" s="17"/>
      <c r="D40" s="18"/>
      <c r="E40" s="18"/>
      <c r="F40" s="18"/>
      <c r="G40" s="18"/>
      <c r="H40" s="49"/>
      <c r="I40" s="21"/>
      <c r="J40" s="22"/>
    </row>
    <row r="41" spans="1:10" ht="13.2" x14ac:dyDescent="0.25">
      <c r="A41" s="17"/>
      <c r="B41" s="17"/>
      <c r="D41" s="18"/>
      <c r="E41" s="18"/>
      <c r="F41" s="18"/>
      <c r="G41" s="18"/>
      <c r="H41" s="49"/>
      <c r="I41" s="21"/>
      <c r="J41" s="22"/>
    </row>
    <row r="42" spans="1:10" ht="13.2" x14ac:dyDescent="0.25">
      <c r="A42" s="17"/>
      <c r="B42" s="17"/>
      <c r="D42" s="18"/>
      <c r="E42" s="18"/>
      <c r="F42" s="18"/>
      <c r="G42" s="18"/>
      <c r="H42" s="49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3.2" x14ac:dyDescent="0.25">
      <c r="A44" s="17"/>
      <c r="B44" s="17"/>
      <c r="D44" s="18"/>
      <c r="E44" s="18"/>
      <c r="F44" s="18"/>
      <c r="G44" s="18"/>
      <c r="H44" s="49"/>
      <c r="I44" s="21"/>
      <c r="J44" s="22"/>
    </row>
    <row r="45" spans="1:10" ht="13.2" x14ac:dyDescent="0.25">
      <c r="A45" s="17"/>
      <c r="B45" s="17"/>
      <c r="D45" s="18"/>
      <c r="E45" s="18"/>
      <c r="F45" s="18"/>
      <c r="G45" s="18"/>
      <c r="H45" s="49"/>
      <c r="I45" s="21"/>
      <c r="J45" s="22"/>
    </row>
    <row r="46" spans="1:10" ht="13.2" x14ac:dyDescent="0.25">
      <c r="A46" s="17"/>
      <c r="B46" s="17"/>
      <c r="D46" s="18"/>
      <c r="E46" s="18"/>
      <c r="F46" s="18"/>
      <c r="G46" s="18"/>
      <c r="H46" s="49"/>
      <c r="I46" s="21"/>
      <c r="J46" s="22"/>
    </row>
    <row r="47" spans="1:10" ht="13.2" x14ac:dyDescent="0.25">
      <c r="A47" s="17"/>
      <c r="B47" s="17"/>
      <c r="D47" s="18"/>
      <c r="E47" s="18"/>
      <c r="F47" s="18"/>
      <c r="G47" s="18"/>
      <c r="H47" s="49"/>
      <c r="I47" s="21"/>
      <c r="J47" s="22"/>
    </row>
    <row r="48" spans="1:10" ht="13.2" x14ac:dyDescent="0.25">
      <c r="A48" s="17"/>
      <c r="B48" s="17"/>
      <c r="D48" s="18"/>
      <c r="E48" s="18"/>
      <c r="F48" s="18"/>
      <c r="G48" s="18"/>
      <c r="H48" s="49"/>
      <c r="I48" s="21"/>
      <c r="J48" s="22"/>
    </row>
    <row r="49" spans="1:10" ht="13.2" x14ac:dyDescent="0.25">
      <c r="A49" s="17"/>
      <c r="B49" s="17"/>
      <c r="D49" s="18"/>
      <c r="E49" s="18"/>
      <c r="F49" s="18"/>
      <c r="G49" s="18"/>
      <c r="H49" s="49"/>
      <c r="I49" s="21"/>
      <c r="J49" s="22"/>
    </row>
    <row r="50" spans="1:10" ht="13.2" x14ac:dyDescent="0.25">
      <c r="A50" s="17"/>
      <c r="B50" s="17"/>
      <c r="D50" s="18"/>
      <c r="E50" s="18"/>
      <c r="F50" s="18"/>
      <c r="G50" s="18"/>
      <c r="H50" s="49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3.2" x14ac:dyDescent="0.25">
      <c r="A52" s="17"/>
      <c r="B52" s="17"/>
      <c r="D52" s="18"/>
      <c r="E52" s="18"/>
      <c r="F52" s="18"/>
      <c r="G52" s="18"/>
      <c r="H52" s="49"/>
      <c r="I52" s="21"/>
      <c r="J52" s="22"/>
    </row>
    <row r="53" spans="1:10" ht="13.2" x14ac:dyDescent="0.25">
      <c r="A53" s="17"/>
      <c r="B53" s="17"/>
      <c r="D53" s="18"/>
      <c r="E53" s="18"/>
      <c r="F53" s="18"/>
      <c r="G53" s="18"/>
      <c r="H53" s="49"/>
      <c r="I53" s="21"/>
      <c r="J53" s="22"/>
    </row>
    <row r="54" spans="1:10" ht="13.2" x14ac:dyDescent="0.25">
      <c r="A54" s="17"/>
      <c r="B54" s="17"/>
      <c r="D54" s="18"/>
      <c r="E54" s="18"/>
      <c r="F54" s="18"/>
      <c r="G54" s="18"/>
      <c r="H54" s="49"/>
      <c r="I54" s="21"/>
      <c r="J54" s="22"/>
    </row>
    <row r="55" spans="1:10" ht="13.2" x14ac:dyDescent="0.25">
      <c r="A55" s="17"/>
      <c r="B55" s="17"/>
      <c r="D55" s="18"/>
      <c r="E55" s="18"/>
      <c r="F55" s="18"/>
      <c r="G55" s="18"/>
      <c r="H55" s="49"/>
      <c r="I55" s="21"/>
      <c r="J55" s="22"/>
    </row>
    <row r="56" spans="1:10" ht="13.2" x14ac:dyDescent="0.25">
      <c r="A56" s="17"/>
      <c r="B56" s="17"/>
      <c r="D56" s="18"/>
      <c r="E56" s="18"/>
      <c r="F56" s="18"/>
      <c r="G56" s="18"/>
      <c r="H56" s="49"/>
      <c r="I56" s="21"/>
      <c r="J56" s="22"/>
    </row>
    <row r="57" spans="1:10" ht="13.2" x14ac:dyDescent="0.25">
      <c r="A57" s="17"/>
      <c r="B57" s="17"/>
      <c r="D57" s="18"/>
      <c r="E57" s="18"/>
      <c r="F57" s="18"/>
      <c r="G57" s="18"/>
      <c r="H57" s="49"/>
      <c r="I57" s="21"/>
      <c r="J57" s="22"/>
    </row>
    <row r="58" spans="1:10" ht="13.2" x14ac:dyDescent="0.25">
      <c r="A58" s="17"/>
      <c r="B58" s="17"/>
      <c r="D58" s="18"/>
      <c r="E58" s="18"/>
      <c r="F58" s="18"/>
      <c r="G58" s="18"/>
      <c r="H58" s="49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3.2" x14ac:dyDescent="0.25">
      <c r="A60" s="17"/>
      <c r="B60" s="17"/>
      <c r="D60" s="18"/>
      <c r="E60" s="18"/>
      <c r="F60" s="18"/>
      <c r="G60" s="18"/>
      <c r="H60" s="49"/>
      <c r="I60" s="21"/>
      <c r="J60" s="22"/>
    </row>
    <row r="61" spans="1:10" ht="13.2" x14ac:dyDescent="0.25">
      <c r="A61" s="17"/>
      <c r="B61" s="17"/>
      <c r="D61" s="18"/>
      <c r="E61" s="18"/>
      <c r="F61" s="18"/>
      <c r="G61" s="18"/>
      <c r="H61" s="49"/>
      <c r="I61" s="21"/>
      <c r="J61" s="22"/>
    </row>
    <row r="62" spans="1:10" ht="13.2" x14ac:dyDescent="0.25">
      <c r="A62" s="17"/>
      <c r="B62" s="17"/>
      <c r="D62" s="18"/>
      <c r="E62" s="18"/>
      <c r="F62" s="18"/>
      <c r="G62" s="18"/>
      <c r="H62" s="49"/>
      <c r="I62" s="21"/>
      <c r="J62" s="22"/>
    </row>
    <row r="63" spans="1:10" ht="13.2" x14ac:dyDescent="0.25">
      <c r="A63" s="17"/>
      <c r="B63" s="17"/>
      <c r="D63" s="18"/>
      <c r="E63" s="18"/>
      <c r="F63" s="18"/>
      <c r="G63" s="18"/>
      <c r="H63" s="49"/>
      <c r="I63" s="21"/>
      <c r="J63" s="22"/>
    </row>
    <row r="64" spans="1:10" ht="13.2" x14ac:dyDescent="0.25">
      <c r="A64" s="17"/>
      <c r="B64" s="17"/>
      <c r="D64" s="18"/>
      <c r="E64" s="18"/>
      <c r="F64" s="18"/>
      <c r="G64" s="18"/>
      <c r="H64" s="49"/>
      <c r="I64" s="21"/>
      <c r="J64" s="22"/>
    </row>
    <row r="65" spans="1:10" ht="13.2" x14ac:dyDescent="0.25">
      <c r="A65" s="17"/>
      <c r="B65" s="17"/>
      <c r="D65" s="18"/>
      <c r="E65" s="18"/>
      <c r="F65" s="18"/>
      <c r="G65" s="18"/>
      <c r="H65" s="49"/>
      <c r="I65" s="21"/>
      <c r="J65" s="22"/>
    </row>
    <row r="66" spans="1:10" ht="13.2" x14ac:dyDescent="0.25">
      <c r="A66" s="17"/>
      <c r="B66" s="17"/>
      <c r="D66" s="18"/>
      <c r="E66" s="18"/>
      <c r="F66" s="18"/>
      <c r="G66" s="18"/>
      <c r="H66" s="49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49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49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49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49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49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49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49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49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49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49"/>
      <c r="I747" s="21"/>
      <c r="J747" s="22"/>
    </row>
  </sheetData>
  <mergeCells count="3">
    <mergeCell ref="B4:G4"/>
    <mergeCell ref="B12:G12"/>
    <mergeCell ref="B20:G20"/>
  </mergeCells>
  <conditionalFormatting sqref="L13">
    <cfRule type="notContainsBlanks" dxfId="0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" xr:uid="{00000000-0002-0000-0B00-000000000000}">
      <formula1>OR(D5 = "2006", D5="2007",  D5="2008", D5="2009", D5="2010", D5="2011")</formula1>
    </dataValidation>
    <dataValidation type="custom" allowBlank="1" showDropDown="1" showInputMessage="1" showErrorMessage="1" prompt="Csak szám, (12,33), x. és - jel használható!" sqref="E5:G9 E13:G17 E21:G25" xr:uid="{00000000-0002-0000-0B00-000001000000}">
      <formula1>REGEXMATCH(E5,"^\d{1,2},\d{2}$|^x$|^X$|^-$")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1C232"/>
    <outlinePr summaryBelow="0" summaryRight="0"/>
  </sheetPr>
  <dimension ref="A1:H727"/>
  <sheetViews>
    <sheetView workbookViewId="0">
      <pane ySplit="3" topLeftCell="A4" activePane="bottomLeft" state="frozen"/>
      <selection pane="bottomLeft" activeCell="A39" sqref="A39:XFD311"/>
    </sheetView>
  </sheetViews>
  <sheetFormatPr defaultColWidth="12.6640625" defaultRowHeight="15.75" customHeight="1" x14ac:dyDescent="0.25"/>
  <cols>
    <col min="1" max="1" width="4.6640625" customWidth="1"/>
    <col min="2" max="2" width="4.109375" customWidth="1"/>
    <col min="3" max="3" width="25.44140625" customWidth="1"/>
    <col min="4" max="4" width="6.109375" customWidth="1"/>
    <col min="5" max="5" width="15.88671875" customWidth="1"/>
    <col min="6" max="6" width="10.21875" customWidth="1"/>
    <col min="7" max="7" width="8.21875" customWidth="1"/>
    <col min="8" max="8" width="12.6640625" hidden="1"/>
  </cols>
  <sheetData>
    <row r="1" spans="1:8" ht="25.8" x14ac:dyDescent="0.8">
      <c r="A1" s="62" t="s">
        <v>729</v>
      </c>
      <c r="B1" s="63"/>
      <c r="C1" s="64"/>
      <c r="D1" s="65"/>
      <c r="E1" s="65"/>
      <c r="F1" s="69"/>
      <c r="G1" s="69"/>
      <c r="H1" s="56"/>
    </row>
    <row r="2" spans="1:8" ht="16.2" x14ac:dyDescent="0.5">
      <c r="A2" s="9" t="s">
        <v>1</v>
      </c>
      <c r="B2" s="9" t="s">
        <v>2</v>
      </c>
      <c r="C2" s="11"/>
      <c r="D2" s="12" t="s">
        <v>379</v>
      </c>
      <c r="E2" s="12"/>
      <c r="F2" s="14" t="s">
        <v>380</v>
      </c>
      <c r="G2" s="15" t="s">
        <v>7</v>
      </c>
      <c r="H2" s="56"/>
    </row>
    <row r="3" spans="1:8" ht="13.2" x14ac:dyDescent="0.25">
      <c r="A3" s="17"/>
      <c r="B3" s="17"/>
      <c r="D3" s="18"/>
      <c r="E3" s="18"/>
      <c r="F3" s="21"/>
      <c r="G3" s="22"/>
      <c r="H3" s="56"/>
    </row>
    <row r="4" spans="1:8" ht="15.6" x14ac:dyDescent="0.25">
      <c r="A4" s="23">
        <v>1</v>
      </c>
      <c r="B4" s="72" t="s">
        <v>677</v>
      </c>
      <c r="C4" s="73"/>
      <c r="D4" s="73"/>
      <c r="E4" s="74"/>
      <c r="F4" s="57" t="s">
        <v>730</v>
      </c>
      <c r="G4" s="26">
        <f ca="1">IF($H4=2000,,RANK(H4,$H$4:$H$38,TRUE))</f>
        <v>1</v>
      </c>
      <c r="H4" s="58">
        <f ca="1">IFERROR(__xludf.DUMMYFUNCTION("IF(REGEXMATCH(F4,""^\d{1,2}:\d\d,\d{1,2}""),VALUE(LEFT($F4,SEARCH("":"",F4)-1))*60+VALUE(MID($F4,SEARCH("":"",F4)+1,LEN($F4))),2000)"),623.6)</f>
        <v>623.6</v>
      </c>
    </row>
    <row r="5" spans="1:8" ht="18" customHeight="1" x14ac:dyDescent="0.25">
      <c r="A5" s="17"/>
      <c r="B5" s="28">
        <v>1</v>
      </c>
      <c r="C5" s="29" t="s">
        <v>731</v>
      </c>
      <c r="D5" s="44" t="s">
        <v>26</v>
      </c>
      <c r="E5" s="18"/>
      <c r="F5" s="21"/>
      <c r="G5" s="22"/>
      <c r="H5" s="56"/>
    </row>
    <row r="6" spans="1:8" ht="18" customHeight="1" x14ac:dyDescent="0.25">
      <c r="A6" s="17"/>
      <c r="B6" s="28">
        <v>2</v>
      </c>
      <c r="C6" s="29" t="s">
        <v>486</v>
      </c>
      <c r="D6" s="44" t="s">
        <v>26</v>
      </c>
      <c r="E6" s="18"/>
      <c r="F6" s="21"/>
      <c r="G6" s="22"/>
      <c r="H6" s="56"/>
    </row>
    <row r="7" spans="1:8" ht="18" customHeight="1" x14ac:dyDescent="0.25">
      <c r="A7" s="17"/>
      <c r="B7" s="28">
        <v>3</v>
      </c>
      <c r="C7" s="29" t="s">
        <v>732</v>
      </c>
      <c r="D7" s="44" t="s">
        <v>41</v>
      </c>
      <c r="E7" s="18"/>
      <c r="F7" s="21"/>
      <c r="G7" s="22"/>
      <c r="H7" s="56"/>
    </row>
    <row r="8" spans="1:8" ht="18" customHeight="1" x14ac:dyDescent="0.25">
      <c r="A8" s="17"/>
      <c r="B8" s="59">
        <v>4</v>
      </c>
      <c r="C8" s="29" t="s">
        <v>733</v>
      </c>
      <c r="D8" s="60" t="s">
        <v>26</v>
      </c>
      <c r="E8" s="18"/>
      <c r="F8" s="21"/>
      <c r="G8" s="22"/>
      <c r="H8" s="56"/>
    </row>
    <row r="9" spans="1:8" ht="18" customHeight="1" x14ac:dyDescent="0.25">
      <c r="A9" s="17"/>
      <c r="B9" s="76" t="s">
        <v>734</v>
      </c>
      <c r="C9" s="74"/>
      <c r="D9" s="75"/>
      <c r="E9" s="73"/>
      <c r="F9" s="74"/>
      <c r="G9" s="18"/>
      <c r="H9" s="56"/>
    </row>
    <row r="10" spans="1:8" ht="13.2" x14ac:dyDescent="0.25">
      <c r="F10" s="61"/>
      <c r="G10" s="22"/>
      <c r="H10" s="56"/>
    </row>
    <row r="11" spans="1:8" ht="15.6" x14ac:dyDescent="0.25">
      <c r="A11" s="23">
        <v>2</v>
      </c>
      <c r="B11" s="72" t="s">
        <v>424</v>
      </c>
      <c r="C11" s="73"/>
      <c r="D11" s="73"/>
      <c r="E11" s="74"/>
      <c r="F11" s="57" t="s">
        <v>735</v>
      </c>
      <c r="G11" s="26">
        <f ca="1">IF($H11=2000,,RANK(H11,$H$4:$H$38,TRUE))</f>
        <v>2</v>
      </c>
      <c r="H11" s="58">
        <f ca="1">IFERROR(__xludf.DUMMYFUNCTION("IF(REGEXMATCH(F11,""^\d{1,2}:\d\d,\d{1,2}""),VALUE(LEFT($F11,SEARCH("":"",F11)-1))*60+VALUE(MID($F11,SEARCH("":"",F11)+1,LEN($F11))),2000)"),699.9)</f>
        <v>699.9</v>
      </c>
    </row>
    <row r="12" spans="1:8" ht="13.2" x14ac:dyDescent="0.25">
      <c r="A12" s="17"/>
      <c r="B12" s="28">
        <v>1</v>
      </c>
      <c r="C12" s="29" t="s">
        <v>736</v>
      </c>
      <c r="D12" s="44" t="s">
        <v>26</v>
      </c>
      <c r="E12" s="18"/>
      <c r="F12" s="21"/>
      <c r="G12" s="22"/>
      <c r="H12" s="56"/>
    </row>
    <row r="13" spans="1:8" ht="13.2" x14ac:dyDescent="0.25">
      <c r="A13" s="17"/>
      <c r="B13" s="28">
        <v>2</v>
      </c>
      <c r="C13" s="29" t="s">
        <v>737</v>
      </c>
      <c r="D13" s="44" t="s">
        <v>10</v>
      </c>
      <c r="E13" s="18"/>
      <c r="F13" s="21"/>
      <c r="G13" s="22"/>
      <c r="H13" s="56"/>
    </row>
    <row r="14" spans="1:8" ht="13.2" x14ac:dyDescent="0.25">
      <c r="A14" s="17"/>
      <c r="B14" s="28">
        <v>3</v>
      </c>
      <c r="C14" s="29" t="s">
        <v>738</v>
      </c>
      <c r="D14" s="44" t="s">
        <v>26</v>
      </c>
      <c r="E14" s="18"/>
      <c r="F14" s="21"/>
      <c r="G14" s="22"/>
      <c r="H14" s="56"/>
    </row>
    <row r="15" spans="1:8" ht="13.2" x14ac:dyDescent="0.25">
      <c r="A15" s="17"/>
      <c r="B15" s="59">
        <v>4</v>
      </c>
      <c r="C15" s="29" t="s">
        <v>739</v>
      </c>
      <c r="D15" s="44" t="s">
        <v>26</v>
      </c>
      <c r="E15" s="18"/>
      <c r="F15" s="21"/>
      <c r="G15" s="22"/>
      <c r="H15" s="56"/>
    </row>
    <row r="16" spans="1:8" ht="13.2" x14ac:dyDescent="0.25">
      <c r="A16" s="17"/>
      <c r="B16" s="76" t="s">
        <v>734</v>
      </c>
      <c r="C16" s="74"/>
      <c r="D16" s="75"/>
      <c r="E16" s="73"/>
      <c r="F16" s="74"/>
      <c r="G16" s="18"/>
      <c r="H16" s="56"/>
    </row>
    <row r="17" spans="1:8" ht="13.2" x14ac:dyDescent="0.25">
      <c r="F17" s="61"/>
      <c r="G17" s="22"/>
      <c r="H17" s="56"/>
    </row>
    <row r="18" spans="1:8" ht="15.6" x14ac:dyDescent="0.25">
      <c r="A18" s="23">
        <v>3</v>
      </c>
      <c r="B18" s="72" t="s">
        <v>740</v>
      </c>
      <c r="C18" s="73"/>
      <c r="D18" s="73"/>
      <c r="E18" s="74"/>
      <c r="F18" s="57" t="s">
        <v>741</v>
      </c>
      <c r="G18" s="26">
        <f ca="1">IF($H18=2000,,RANK(H18,$H$4:$H$38,TRUE))</f>
        <v>3</v>
      </c>
      <c r="H18" s="58">
        <f ca="1">IFERROR(__xludf.DUMMYFUNCTION("IF(REGEXMATCH(F18,""^\d{1,2}:\d\d,\d{1,2}""),VALUE(LEFT($F18,SEARCH("":"",F18)-1))*60+VALUE(MID($F18,SEARCH("":"",F18)+1,LEN($F18))),2000)"),776.2)</f>
        <v>776.2</v>
      </c>
    </row>
    <row r="19" spans="1:8" ht="13.2" x14ac:dyDescent="0.25">
      <c r="A19" s="17"/>
      <c r="B19" s="28">
        <v>1</v>
      </c>
      <c r="C19" s="29" t="s">
        <v>742</v>
      </c>
      <c r="D19" s="44" t="s">
        <v>15</v>
      </c>
      <c r="E19" s="18"/>
      <c r="F19" s="21"/>
      <c r="G19" s="22"/>
      <c r="H19" s="56"/>
    </row>
    <row r="20" spans="1:8" ht="13.2" x14ac:dyDescent="0.25">
      <c r="A20" s="17"/>
      <c r="B20" s="28">
        <v>2</v>
      </c>
      <c r="C20" s="29" t="s">
        <v>567</v>
      </c>
      <c r="D20" s="44" t="s">
        <v>15</v>
      </c>
      <c r="E20" s="18"/>
      <c r="F20" s="21"/>
      <c r="G20" s="22"/>
      <c r="H20" s="56"/>
    </row>
    <row r="21" spans="1:8" ht="13.2" x14ac:dyDescent="0.25">
      <c r="A21" s="17"/>
      <c r="B21" s="28">
        <v>3</v>
      </c>
      <c r="C21" s="29" t="s">
        <v>743</v>
      </c>
      <c r="D21" s="44" t="s">
        <v>18</v>
      </c>
      <c r="E21" s="18"/>
      <c r="F21" s="21"/>
      <c r="G21" s="22"/>
      <c r="H21" s="56"/>
    </row>
    <row r="22" spans="1:8" ht="13.2" x14ac:dyDescent="0.25">
      <c r="A22" s="17"/>
      <c r="B22" s="59">
        <v>4</v>
      </c>
      <c r="C22" s="29" t="s">
        <v>744</v>
      </c>
      <c r="D22" s="44" t="s">
        <v>15</v>
      </c>
      <c r="E22" s="18"/>
      <c r="F22" s="21"/>
      <c r="G22" s="22"/>
      <c r="H22" s="56"/>
    </row>
    <row r="23" spans="1:8" ht="13.2" x14ac:dyDescent="0.25">
      <c r="A23" s="17"/>
      <c r="B23" s="76" t="s">
        <v>397</v>
      </c>
      <c r="C23" s="74"/>
      <c r="D23" s="75"/>
      <c r="E23" s="73"/>
      <c r="F23" s="74"/>
      <c r="G23" s="18"/>
      <c r="H23" s="56"/>
    </row>
    <row r="24" spans="1:8" ht="13.2" x14ac:dyDescent="0.25">
      <c r="F24" s="61"/>
      <c r="G24" s="22"/>
      <c r="H24" s="56"/>
    </row>
    <row r="25" spans="1:8" ht="15.6" x14ac:dyDescent="0.25">
      <c r="A25" s="23">
        <v>4</v>
      </c>
      <c r="B25" s="72" t="s">
        <v>450</v>
      </c>
      <c r="C25" s="73"/>
      <c r="D25" s="73"/>
      <c r="E25" s="74"/>
      <c r="F25" s="57" t="s">
        <v>745</v>
      </c>
      <c r="G25" s="26">
        <f ca="1">IF($H25=2000,,RANK(H25,$H$4:$H$38,TRUE))</f>
        <v>4</v>
      </c>
      <c r="H25" s="58">
        <f ca="1">IFERROR(__xludf.DUMMYFUNCTION("IF(REGEXMATCH(F25,""^\d{1,2}:\d\d,\d{1,2}""),VALUE(LEFT($F25,SEARCH("":"",F25)-1))*60+VALUE(MID($F25,SEARCH("":"",F25)+1,LEN($F25))),2000)"),796.4)</f>
        <v>796.4</v>
      </c>
    </row>
    <row r="26" spans="1:8" ht="13.2" x14ac:dyDescent="0.25">
      <c r="A26" s="17"/>
      <c r="B26" s="28">
        <v>1</v>
      </c>
      <c r="C26" s="29" t="s">
        <v>746</v>
      </c>
      <c r="D26" s="44" t="s">
        <v>18</v>
      </c>
      <c r="E26" s="18"/>
      <c r="F26" s="21"/>
      <c r="G26" s="22"/>
      <c r="H26" s="56"/>
    </row>
    <row r="27" spans="1:8" ht="13.2" x14ac:dyDescent="0.25">
      <c r="A27" s="17"/>
      <c r="B27" s="28">
        <v>2</v>
      </c>
      <c r="C27" s="29" t="s">
        <v>747</v>
      </c>
      <c r="D27" s="44" t="s">
        <v>41</v>
      </c>
      <c r="E27" s="18"/>
      <c r="F27" s="21"/>
      <c r="G27" s="22"/>
      <c r="H27" s="56"/>
    </row>
    <row r="28" spans="1:8" ht="13.2" x14ac:dyDescent="0.25">
      <c r="A28" s="17"/>
      <c r="B28" s="28">
        <v>3</v>
      </c>
      <c r="C28" s="29" t="s">
        <v>748</v>
      </c>
      <c r="D28" s="44" t="s">
        <v>26</v>
      </c>
      <c r="E28" s="18"/>
      <c r="F28" s="21"/>
      <c r="G28" s="22"/>
      <c r="H28" s="56"/>
    </row>
    <row r="29" spans="1:8" ht="13.2" x14ac:dyDescent="0.25">
      <c r="A29" s="17"/>
      <c r="B29" s="59">
        <v>4</v>
      </c>
      <c r="C29" s="29" t="s">
        <v>749</v>
      </c>
      <c r="D29" s="44" t="s">
        <v>32</v>
      </c>
      <c r="E29" s="18"/>
      <c r="F29" s="21"/>
      <c r="G29" s="22"/>
      <c r="H29" s="56"/>
    </row>
    <row r="30" spans="1:8" ht="13.2" x14ac:dyDescent="0.25">
      <c r="A30" s="17"/>
      <c r="B30" s="76" t="s">
        <v>456</v>
      </c>
      <c r="C30" s="74"/>
      <c r="D30" s="75"/>
      <c r="E30" s="73"/>
      <c r="F30" s="74"/>
      <c r="G30" s="18"/>
      <c r="H30" s="56"/>
    </row>
    <row r="31" spans="1:8" ht="13.2" x14ac:dyDescent="0.25">
      <c r="F31" s="61"/>
      <c r="G31" s="22"/>
      <c r="H31" s="56"/>
    </row>
    <row r="32" spans="1:8" ht="15.6" x14ac:dyDescent="0.25">
      <c r="A32" s="23">
        <v>5</v>
      </c>
      <c r="B32" s="72" t="s">
        <v>368</v>
      </c>
      <c r="C32" s="73"/>
      <c r="D32" s="73"/>
      <c r="E32" s="74"/>
      <c r="F32" s="57"/>
      <c r="G32" s="26">
        <f ca="1">IF($H32=2000,,RANK(H32,$H$4:$H$38,TRUE))</f>
        <v>0</v>
      </c>
      <c r="H32" s="58">
        <f ca="1">IFERROR(__xludf.DUMMYFUNCTION("IF(REGEXMATCH(F32,""^\d{1,2}:\d\d,\d{1,2}""),VALUE(LEFT($F32,SEARCH("":"",F32)-1))*60+VALUE(MID($F32,SEARCH("":"",F32)+1,LEN($F32))),2000)"),2000)</f>
        <v>2000</v>
      </c>
    </row>
    <row r="33" spans="1:8" ht="13.2" x14ac:dyDescent="0.25">
      <c r="A33" s="17"/>
      <c r="B33" s="28">
        <v>1</v>
      </c>
      <c r="C33" s="29" t="s">
        <v>750</v>
      </c>
      <c r="D33" s="44" t="s">
        <v>26</v>
      </c>
      <c r="E33" s="18"/>
      <c r="F33" s="21"/>
      <c r="G33" s="22"/>
      <c r="H33" s="56"/>
    </row>
    <row r="34" spans="1:8" ht="13.2" x14ac:dyDescent="0.25">
      <c r="A34" s="17"/>
      <c r="B34" s="28">
        <v>2</v>
      </c>
      <c r="C34" s="29" t="s">
        <v>751</v>
      </c>
      <c r="D34" s="44" t="s">
        <v>41</v>
      </c>
      <c r="E34" s="18"/>
      <c r="F34" s="21"/>
      <c r="G34" s="22"/>
      <c r="H34" s="56"/>
    </row>
    <row r="35" spans="1:8" ht="13.2" x14ac:dyDescent="0.25">
      <c r="A35" s="17"/>
      <c r="B35" s="28">
        <v>3</v>
      </c>
      <c r="C35" s="29" t="s">
        <v>752</v>
      </c>
      <c r="D35" s="44" t="s">
        <v>15</v>
      </c>
      <c r="E35" s="18"/>
      <c r="F35" s="21"/>
      <c r="G35" s="22"/>
      <c r="H35" s="56"/>
    </row>
    <row r="36" spans="1:8" ht="13.2" x14ac:dyDescent="0.25">
      <c r="A36" s="17"/>
      <c r="B36" s="59">
        <v>4</v>
      </c>
      <c r="C36" s="29" t="s">
        <v>753</v>
      </c>
      <c r="D36" s="44" t="s">
        <v>41</v>
      </c>
      <c r="E36" s="18"/>
      <c r="F36" s="21"/>
      <c r="G36" s="22"/>
      <c r="H36" s="56"/>
    </row>
    <row r="37" spans="1:8" ht="13.2" x14ac:dyDescent="0.25">
      <c r="A37" s="17"/>
      <c r="B37" s="76" t="s">
        <v>409</v>
      </c>
      <c r="C37" s="74"/>
      <c r="D37" s="75"/>
      <c r="E37" s="73"/>
      <c r="F37" s="74"/>
      <c r="G37" s="18"/>
      <c r="H37" s="56"/>
    </row>
    <row r="38" spans="1:8" ht="13.2" x14ac:dyDescent="0.25">
      <c r="F38" s="61"/>
      <c r="G38" s="22"/>
      <c r="H38" s="56"/>
    </row>
    <row r="39" spans="1:8" ht="13.2" x14ac:dyDescent="0.25">
      <c r="G39" s="22"/>
      <c r="H39" s="56"/>
    </row>
    <row r="40" spans="1:8" ht="13.2" x14ac:dyDescent="0.25">
      <c r="G40" s="22"/>
      <c r="H40" s="56"/>
    </row>
    <row r="41" spans="1:8" ht="13.2" x14ac:dyDescent="0.25">
      <c r="G41" s="22"/>
      <c r="H41" s="56"/>
    </row>
    <row r="42" spans="1:8" ht="13.2" x14ac:dyDescent="0.25">
      <c r="G42" s="22"/>
      <c r="H42" s="56"/>
    </row>
    <row r="43" spans="1:8" ht="13.2" x14ac:dyDescent="0.25">
      <c r="G43" s="22"/>
      <c r="H43" s="56"/>
    </row>
    <row r="44" spans="1:8" ht="13.2" x14ac:dyDescent="0.25">
      <c r="G44" s="22"/>
      <c r="H44" s="56"/>
    </row>
    <row r="45" spans="1:8" ht="13.2" x14ac:dyDescent="0.25">
      <c r="G45" s="22"/>
      <c r="H45" s="56"/>
    </row>
    <row r="46" spans="1:8" ht="13.2" x14ac:dyDescent="0.25">
      <c r="G46" s="22"/>
      <c r="H46" s="56"/>
    </row>
    <row r="47" spans="1:8" ht="13.2" x14ac:dyDescent="0.25">
      <c r="G47" s="22"/>
      <c r="H47" s="56"/>
    </row>
    <row r="48" spans="1:8" ht="13.2" x14ac:dyDescent="0.25">
      <c r="G48" s="22"/>
      <c r="H48" s="56"/>
    </row>
    <row r="49" spans="7:8" ht="13.2" x14ac:dyDescent="0.25">
      <c r="G49" s="22"/>
      <c r="H49" s="56"/>
    </row>
    <row r="50" spans="7:8" ht="13.2" x14ac:dyDescent="0.25">
      <c r="G50" s="22"/>
      <c r="H50" s="56"/>
    </row>
    <row r="51" spans="7:8" ht="13.2" x14ac:dyDescent="0.25">
      <c r="G51" s="22"/>
      <c r="H51" s="56"/>
    </row>
    <row r="52" spans="7:8" ht="13.2" x14ac:dyDescent="0.25">
      <c r="G52" s="22"/>
      <c r="H52" s="56"/>
    </row>
    <row r="53" spans="7:8" ht="13.2" x14ac:dyDescent="0.25">
      <c r="G53" s="22"/>
      <c r="H53" s="56"/>
    </row>
    <row r="54" spans="7:8" ht="13.2" x14ac:dyDescent="0.25">
      <c r="G54" s="22"/>
      <c r="H54" s="56"/>
    </row>
    <row r="55" spans="7:8" ht="13.2" x14ac:dyDescent="0.25">
      <c r="G55" s="22"/>
      <c r="H55" s="56"/>
    </row>
    <row r="56" spans="7:8" ht="13.2" x14ac:dyDescent="0.25">
      <c r="G56" s="22"/>
      <c r="H56" s="56"/>
    </row>
    <row r="57" spans="7:8" ht="13.2" x14ac:dyDescent="0.25">
      <c r="G57" s="22"/>
      <c r="H57" s="56"/>
    </row>
    <row r="58" spans="7:8" ht="13.2" x14ac:dyDescent="0.25">
      <c r="G58" s="22"/>
      <c r="H58" s="56"/>
    </row>
    <row r="59" spans="7:8" ht="13.2" x14ac:dyDescent="0.25">
      <c r="G59" s="22"/>
      <c r="H59" s="56"/>
    </row>
    <row r="60" spans="7:8" ht="13.2" x14ac:dyDescent="0.25">
      <c r="G60" s="22"/>
      <c r="H60" s="56"/>
    </row>
    <row r="61" spans="7:8" ht="13.2" x14ac:dyDescent="0.25">
      <c r="G61" s="22"/>
      <c r="H61" s="56"/>
    </row>
    <row r="62" spans="7:8" ht="13.2" x14ac:dyDescent="0.25">
      <c r="G62" s="22"/>
      <c r="H62" s="56"/>
    </row>
    <row r="63" spans="7:8" ht="13.2" x14ac:dyDescent="0.25">
      <c r="G63" s="22"/>
      <c r="H63" s="56"/>
    </row>
    <row r="64" spans="7:8" ht="13.2" x14ac:dyDescent="0.25">
      <c r="G64" s="22"/>
      <c r="H64" s="56"/>
    </row>
    <row r="65" spans="7:8" ht="13.2" x14ac:dyDescent="0.25">
      <c r="G65" s="22"/>
      <c r="H65" s="56"/>
    </row>
    <row r="66" spans="7:8" ht="13.2" x14ac:dyDescent="0.25">
      <c r="G66" s="22"/>
      <c r="H66" s="56"/>
    </row>
    <row r="67" spans="7:8" ht="13.2" x14ac:dyDescent="0.25">
      <c r="G67" s="22"/>
      <c r="H67" s="56"/>
    </row>
    <row r="68" spans="7:8" ht="13.2" x14ac:dyDescent="0.25">
      <c r="G68" s="22"/>
      <c r="H68" s="56"/>
    </row>
    <row r="69" spans="7:8" ht="13.2" x14ac:dyDescent="0.25">
      <c r="G69" s="22"/>
      <c r="H69" s="56"/>
    </row>
    <row r="70" spans="7:8" ht="13.2" x14ac:dyDescent="0.25">
      <c r="G70" s="22"/>
      <c r="H70" s="56"/>
    </row>
    <row r="71" spans="7:8" ht="13.2" x14ac:dyDescent="0.25">
      <c r="G71" s="22"/>
      <c r="H71" s="56"/>
    </row>
    <row r="72" spans="7:8" ht="13.2" x14ac:dyDescent="0.25">
      <c r="G72" s="22"/>
      <c r="H72" s="56"/>
    </row>
    <row r="73" spans="7:8" ht="13.2" x14ac:dyDescent="0.25">
      <c r="G73" s="22"/>
      <c r="H73" s="56"/>
    </row>
    <row r="74" spans="7:8" ht="13.2" x14ac:dyDescent="0.25">
      <c r="G74" s="22"/>
      <c r="H74" s="56"/>
    </row>
    <row r="75" spans="7:8" ht="13.2" x14ac:dyDescent="0.25">
      <c r="G75" s="22"/>
      <c r="H75" s="56"/>
    </row>
    <row r="76" spans="7:8" ht="13.2" x14ac:dyDescent="0.25">
      <c r="G76" s="22"/>
      <c r="H76" s="56"/>
    </row>
    <row r="77" spans="7:8" ht="13.2" x14ac:dyDescent="0.25">
      <c r="G77" s="22"/>
      <c r="H77" s="56"/>
    </row>
    <row r="78" spans="7:8" ht="13.2" x14ac:dyDescent="0.25">
      <c r="G78" s="22"/>
      <c r="H78" s="56"/>
    </row>
    <row r="79" spans="7:8" ht="13.2" x14ac:dyDescent="0.25">
      <c r="G79" s="22"/>
      <c r="H79" s="56"/>
    </row>
    <row r="80" spans="7:8" ht="13.2" x14ac:dyDescent="0.25">
      <c r="G80" s="22"/>
      <c r="H80" s="56"/>
    </row>
    <row r="81" spans="7:8" ht="13.2" x14ac:dyDescent="0.25">
      <c r="G81" s="22"/>
      <c r="H81" s="56"/>
    </row>
    <row r="82" spans="7:8" ht="13.2" x14ac:dyDescent="0.25">
      <c r="G82" s="22"/>
      <c r="H82" s="56"/>
    </row>
    <row r="83" spans="7:8" ht="13.2" x14ac:dyDescent="0.25">
      <c r="G83" s="22"/>
      <c r="H83" s="56"/>
    </row>
    <row r="84" spans="7:8" ht="13.2" x14ac:dyDescent="0.25">
      <c r="G84" s="22"/>
      <c r="H84" s="56"/>
    </row>
    <row r="85" spans="7:8" ht="13.2" x14ac:dyDescent="0.25">
      <c r="G85" s="22"/>
      <c r="H85" s="56"/>
    </row>
    <row r="86" spans="7:8" ht="13.2" x14ac:dyDescent="0.25">
      <c r="G86" s="22"/>
      <c r="H86" s="56"/>
    </row>
    <row r="87" spans="7:8" ht="13.2" x14ac:dyDescent="0.25">
      <c r="G87" s="22"/>
      <c r="H87" s="56"/>
    </row>
    <row r="88" spans="7:8" ht="13.2" x14ac:dyDescent="0.25">
      <c r="G88" s="22"/>
      <c r="H88" s="56"/>
    </row>
    <row r="89" spans="7:8" ht="13.2" x14ac:dyDescent="0.25">
      <c r="G89" s="22"/>
      <c r="H89" s="56"/>
    </row>
    <row r="90" spans="7:8" ht="13.2" x14ac:dyDescent="0.25">
      <c r="G90" s="22"/>
      <c r="H90" s="56"/>
    </row>
    <row r="91" spans="7:8" ht="13.2" x14ac:dyDescent="0.25">
      <c r="G91" s="22"/>
      <c r="H91" s="56"/>
    </row>
    <row r="92" spans="7:8" ht="13.2" x14ac:dyDescent="0.25">
      <c r="G92" s="22"/>
      <c r="H92" s="56"/>
    </row>
    <row r="93" spans="7:8" ht="13.2" x14ac:dyDescent="0.25">
      <c r="G93" s="22"/>
      <c r="H93" s="56"/>
    </row>
    <row r="94" spans="7:8" ht="13.2" x14ac:dyDescent="0.25">
      <c r="G94" s="22"/>
      <c r="H94" s="56"/>
    </row>
    <row r="95" spans="7:8" ht="13.2" x14ac:dyDescent="0.25">
      <c r="G95" s="22"/>
      <c r="H95" s="56"/>
    </row>
    <row r="96" spans="7:8" ht="13.2" x14ac:dyDescent="0.25">
      <c r="G96" s="22"/>
      <c r="H96" s="56"/>
    </row>
    <row r="97" spans="7:8" ht="13.2" x14ac:dyDescent="0.25">
      <c r="G97" s="22"/>
      <c r="H97" s="56"/>
    </row>
    <row r="98" spans="7:8" ht="13.2" x14ac:dyDescent="0.25">
      <c r="G98" s="22"/>
      <c r="H98" s="56"/>
    </row>
    <row r="99" spans="7:8" ht="13.2" x14ac:dyDescent="0.25">
      <c r="G99" s="22"/>
      <c r="H99" s="56"/>
    </row>
    <row r="100" spans="7:8" ht="13.2" x14ac:dyDescent="0.25">
      <c r="G100" s="22"/>
      <c r="H100" s="56"/>
    </row>
    <row r="101" spans="7:8" ht="13.2" x14ac:dyDescent="0.25">
      <c r="G101" s="22"/>
      <c r="H101" s="56"/>
    </row>
    <row r="102" spans="7:8" ht="13.2" x14ac:dyDescent="0.25">
      <c r="G102" s="22"/>
      <c r="H102" s="56"/>
    </row>
    <row r="103" spans="7:8" ht="13.2" x14ac:dyDescent="0.25">
      <c r="G103" s="22"/>
      <c r="H103" s="56"/>
    </row>
    <row r="104" spans="7:8" ht="13.2" x14ac:dyDescent="0.25">
      <c r="G104" s="22"/>
      <c r="H104" s="56"/>
    </row>
    <row r="105" spans="7:8" ht="13.2" x14ac:dyDescent="0.25">
      <c r="G105" s="22"/>
      <c r="H105" s="56"/>
    </row>
    <row r="106" spans="7:8" ht="13.2" x14ac:dyDescent="0.25">
      <c r="G106" s="22"/>
      <c r="H106" s="56"/>
    </row>
    <row r="107" spans="7:8" ht="13.2" x14ac:dyDescent="0.25">
      <c r="G107" s="22"/>
      <c r="H107" s="56"/>
    </row>
    <row r="108" spans="7:8" ht="13.2" x14ac:dyDescent="0.25">
      <c r="G108" s="22"/>
      <c r="H108" s="56"/>
    </row>
    <row r="109" spans="7:8" ht="13.2" x14ac:dyDescent="0.25">
      <c r="G109" s="22"/>
      <c r="H109" s="56"/>
    </row>
    <row r="110" spans="7:8" ht="13.2" x14ac:dyDescent="0.25">
      <c r="G110" s="22"/>
      <c r="H110" s="56"/>
    </row>
    <row r="111" spans="7:8" ht="13.2" x14ac:dyDescent="0.25">
      <c r="G111" s="22"/>
      <c r="H111" s="56"/>
    </row>
    <row r="112" spans="7:8" ht="13.2" x14ac:dyDescent="0.25">
      <c r="G112" s="22"/>
      <c r="H112" s="56"/>
    </row>
    <row r="113" spans="7:8" ht="13.2" x14ac:dyDescent="0.25">
      <c r="G113" s="22"/>
      <c r="H113" s="56"/>
    </row>
    <row r="114" spans="7:8" ht="13.2" x14ac:dyDescent="0.25">
      <c r="G114" s="22"/>
      <c r="H114" s="56"/>
    </row>
    <row r="115" spans="7:8" ht="13.2" x14ac:dyDescent="0.25">
      <c r="G115" s="22"/>
      <c r="H115" s="56"/>
    </row>
    <row r="116" spans="7:8" ht="13.2" x14ac:dyDescent="0.25">
      <c r="G116" s="22"/>
      <c r="H116" s="56"/>
    </row>
    <row r="117" spans="7:8" ht="13.2" x14ac:dyDescent="0.25">
      <c r="G117" s="22"/>
      <c r="H117" s="56"/>
    </row>
    <row r="118" spans="7:8" ht="13.2" x14ac:dyDescent="0.25">
      <c r="G118" s="22"/>
      <c r="H118" s="56"/>
    </row>
    <row r="119" spans="7:8" ht="13.2" x14ac:dyDescent="0.25">
      <c r="G119" s="22"/>
      <c r="H119" s="56"/>
    </row>
    <row r="120" spans="7:8" ht="13.2" x14ac:dyDescent="0.25">
      <c r="G120" s="22"/>
      <c r="H120" s="56"/>
    </row>
    <row r="121" spans="7:8" ht="13.2" x14ac:dyDescent="0.25">
      <c r="G121" s="22"/>
      <c r="H121" s="56"/>
    </row>
    <row r="122" spans="7:8" ht="13.2" x14ac:dyDescent="0.25">
      <c r="G122" s="22"/>
      <c r="H122" s="56"/>
    </row>
    <row r="123" spans="7:8" ht="13.2" x14ac:dyDescent="0.25">
      <c r="G123" s="22"/>
      <c r="H123" s="56"/>
    </row>
    <row r="124" spans="7:8" ht="13.2" x14ac:dyDescent="0.25">
      <c r="G124" s="22"/>
      <c r="H124" s="56"/>
    </row>
    <row r="125" spans="7:8" ht="13.2" x14ac:dyDescent="0.25">
      <c r="G125" s="22"/>
      <c r="H125" s="56"/>
    </row>
    <row r="126" spans="7:8" ht="13.2" x14ac:dyDescent="0.25">
      <c r="G126" s="22"/>
      <c r="H126" s="56"/>
    </row>
    <row r="127" spans="7:8" ht="13.2" x14ac:dyDescent="0.25">
      <c r="G127" s="22"/>
      <c r="H127" s="56"/>
    </row>
    <row r="128" spans="7:8" ht="13.2" x14ac:dyDescent="0.25">
      <c r="G128" s="22"/>
      <c r="H128" s="56"/>
    </row>
    <row r="129" spans="7:8" ht="13.2" x14ac:dyDescent="0.25">
      <c r="G129" s="22"/>
      <c r="H129" s="56"/>
    </row>
    <row r="130" spans="7:8" ht="13.2" x14ac:dyDescent="0.25">
      <c r="G130" s="22"/>
      <c r="H130" s="56"/>
    </row>
    <row r="131" spans="7:8" ht="13.2" x14ac:dyDescent="0.25">
      <c r="G131" s="22"/>
      <c r="H131" s="56"/>
    </row>
    <row r="132" spans="7:8" ht="13.2" x14ac:dyDescent="0.25">
      <c r="G132" s="22"/>
      <c r="H132" s="56"/>
    </row>
    <row r="133" spans="7:8" ht="13.2" x14ac:dyDescent="0.25">
      <c r="G133" s="22"/>
      <c r="H133" s="56"/>
    </row>
    <row r="134" spans="7:8" ht="13.2" x14ac:dyDescent="0.25">
      <c r="G134" s="22"/>
      <c r="H134" s="56"/>
    </row>
    <row r="135" spans="7:8" ht="13.2" x14ac:dyDescent="0.25">
      <c r="G135" s="22"/>
      <c r="H135" s="56"/>
    </row>
    <row r="136" spans="7:8" ht="13.2" x14ac:dyDescent="0.25">
      <c r="G136" s="22"/>
      <c r="H136" s="56"/>
    </row>
    <row r="137" spans="7:8" ht="13.2" x14ac:dyDescent="0.25">
      <c r="G137" s="22"/>
      <c r="H137" s="56"/>
    </row>
    <row r="138" spans="7:8" ht="13.2" x14ac:dyDescent="0.25">
      <c r="G138" s="22"/>
      <c r="H138" s="56"/>
    </row>
    <row r="139" spans="7:8" ht="13.2" x14ac:dyDescent="0.25">
      <c r="G139" s="22"/>
      <c r="H139" s="56"/>
    </row>
    <row r="140" spans="7:8" ht="13.2" x14ac:dyDescent="0.25">
      <c r="G140" s="22"/>
      <c r="H140" s="56"/>
    </row>
    <row r="141" spans="7:8" ht="13.2" x14ac:dyDescent="0.25">
      <c r="G141" s="22"/>
      <c r="H141" s="56"/>
    </row>
    <row r="142" spans="7:8" ht="13.2" x14ac:dyDescent="0.25">
      <c r="G142" s="22"/>
      <c r="H142" s="56"/>
    </row>
    <row r="143" spans="7:8" ht="13.2" x14ac:dyDescent="0.25">
      <c r="G143" s="22"/>
      <c r="H143" s="56"/>
    </row>
    <row r="144" spans="7:8" ht="13.2" x14ac:dyDescent="0.25">
      <c r="G144" s="22"/>
      <c r="H144" s="56"/>
    </row>
    <row r="145" spans="7:8" ht="13.2" x14ac:dyDescent="0.25">
      <c r="G145" s="22"/>
      <c r="H145" s="56"/>
    </row>
    <row r="146" spans="7:8" ht="13.2" x14ac:dyDescent="0.25">
      <c r="G146" s="22"/>
      <c r="H146" s="56"/>
    </row>
    <row r="147" spans="7:8" ht="13.2" x14ac:dyDescent="0.25">
      <c r="G147" s="22"/>
      <c r="H147" s="56"/>
    </row>
    <row r="148" spans="7:8" ht="13.2" x14ac:dyDescent="0.25">
      <c r="G148" s="22"/>
      <c r="H148" s="56"/>
    </row>
    <row r="149" spans="7:8" ht="13.2" x14ac:dyDescent="0.25">
      <c r="G149" s="22"/>
      <c r="H149" s="56"/>
    </row>
    <row r="150" spans="7:8" ht="13.2" x14ac:dyDescent="0.25">
      <c r="G150" s="22"/>
      <c r="H150" s="56"/>
    </row>
    <row r="151" spans="7:8" ht="13.2" x14ac:dyDescent="0.25">
      <c r="G151" s="22"/>
      <c r="H151" s="56"/>
    </row>
    <row r="152" spans="7:8" ht="13.2" x14ac:dyDescent="0.25">
      <c r="G152" s="22"/>
      <c r="H152" s="56"/>
    </row>
    <row r="153" spans="7:8" ht="13.2" x14ac:dyDescent="0.25">
      <c r="G153" s="22"/>
      <c r="H153" s="56"/>
    </row>
    <row r="154" spans="7:8" ht="13.2" x14ac:dyDescent="0.25">
      <c r="G154" s="22"/>
      <c r="H154" s="56"/>
    </row>
    <row r="155" spans="7:8" ht="13.2" x14ac:dyDescent="0.25">
      <c r="G155" s="22"/>
      <c r="H155" s="56"/>
    </row>
    <row r="156" spans="7:8" ht="13.2" x14ac:dyDescent="0.25">
      <c r="G156" s="22"/>
      <c r="H156" s="56"/>
    </row>
    <row r="157" spans="7:8" ht="13.2" x14ac:dyDescent="0.25">
      <c r="G157" s="22"/>
      <c r="H157" s="56"/>
    </row>
    <row r="158" spans="7:8" ht="13.2" x14ac:dyDescent="0.25">
      <c r="G158" s="22"/>
      <c r="H158" s="56"/>
    </row>
    <row r="159" spans="7:8" ht="13.2" x14ac:dyDescent="0.25">
      <c r="G159" s="22"/>
      <c r="H159" s="56"/>
    </row>
    <row r="160" spans="7:8" ht="13.2" x14ac:dyDescent="0.25">
      <c r="G160" s="22"/>
      <c r="H160" s="56"/>
    </row>
    <row r="161" spans="7:8" ht="13.2" x14ac:dyDescent="0.25">
      <c r="G161" s="22"/>
      <c r="H161" s="56"/>
    </row>
    <row r="162" spans="7:8" ht="13.2" x14ac:dyDescent="0.25">
      <c r="G162" s="22"/>
      <c r="H162" s="56"/>
    </row>
    <row r="163" spans="7:8" ht="13.2" x14ac:dyDescent="0.25">
      <c r="G163" s="22"/>
      <c r="H163" s="56"/>
    </row>
    <row r="164" spans="7:8" ht="13.2" x14ac:dyDescent="0.25">
      <c r="G164" s="22"/>
      <c r="H164" s="56"/>
    </row>
    <row r="165" spans="7:8" ht="13.2" x14ac:dyDescent="0.25">
      <c r="G165" s="22"/>
      <c r="H165" s="56"/>
    </row>
    <row r="166" spans="7:8" ht="13.2" x14ac:dyDescent="0.25">
      <c r="G166" s="22"/>
      <c r="H166" s="56"/>
    </row>
    <row r="167" spans="7:8" ht="13.2" x14ac:dyDescent="0.25">
      <c r="G167" s="22"/>
      <c r="H167" s="56"/>
    </row>
    <row r="168" spans="7:8" ht="13.2" x14ac:dyDescent="0.25">
      <c r="G168" s="22"/>
      <c r="H168" s="56"/>
    </row>
    <row r="169" spans="7:8" ht="13.2" x14ac:dyDescent="0.25">
      <c r="G169" s="22"/>
      <c r="H169" s="56"/>
    </row>
    <row r="170" spans="7:8" ht="13.2" x14ac:dyDescent="0.25">
      <c r="G170" s="22"/>
      <c r="H170" s="56"/>
    </row>
    <row r="171" spans="7:8" ht="13.2" x14ac:dyDescent="0.25">
      <c r="G171" s="22"/>
      <c r="H171" s="56"/>
    </row>
    <row r="172" spans="7:8" ht="13.2" x14ac:dyDescent="0.25">
      <c r="G172" s="22"/>
      <c r="H172" s="56"/>
    </row>
    <row r="173" spans="7:8" ht="13.2" x14ac:dyDescent="0.25">
      <c r="G173" s="22"/>
      <c r="H173" s="56"/>
    </row>
    <row r="174" spans="7:8" ht="13.2" x14ac:dyDescent="0.25">
      <c r="G174" s="22"/>
      <c r="H174" s="56"/>
    </row>
    <row r="175" spans="7:8" ht="13.2" x14ac:dyDescent="0.25">
      <c r="G175" s="22"/>
      <c r="H175" s="56"/>
    </row>
    <row r="176" spans="7:8" ht="13.2" x14ac:dyDescent="0.25">
      <c r="G176" s="22"/>
      <c r="H176" s="56"/>
    </row>
    <row r="177" spans="7:8" ht="13.2" x14ac:dyDescent="0.25">
      <c r="G177" s="22"/>
      <c r="H177" s="56"/>
    </row>
    <row r="178" spans="7:8" ht="13.2" x14ac:dyDescent="0.25">
      <c r="G178" s="22"/>
      <c r="H178" s="56"/>
    </row>
    <row r="179" spans="7:8" ht="13.2" x14ac:dyDescent="0.25">
      <c r="G179" s="22"/>
      <c r="H179" s="56"/>
    </row>
    <row r="180" spans="7:8" ht="13.2" x14ac:dyDescent="0.25">
      <c r="G180" s="22"/>
      <c r="H180" s="56"/>
    </row>
    <row r="181" spans="7:8" ht="13.2" x14ac:dyDescent="0.25">
      <c r="G181" s="22"/>
      <c r="H181" s="56"/>
    </row>
    <row r="182" spans="7:8" ht="13.2" x14ac:dyDescent="0.25">
      <c r="G182" s="22"/>
      <c r="H182" s="56"/>
    </row>
    <row r="183" spans="7:8" ht="13.2" x14ac:dyDescent="0.25">
      <c r="G183" s="22"/>
      <c r="H183" s="56"/>
    </row>
    <row r="184" spans="7:8" ht="13.2" x14ac:dyDescent="0.25">
      <c r="G184" s="22"/>
      <c r="H184" s="56"/>
    </row>
    <row r="185" spans="7:8" ht="13.2" x14ac:dyDescent="0.25">
      <c r="G185" s="22"/>
      <c r="H185" s="56"/>
    </row>
    <row r="186" spans="7:8" ht="13.2" x14ac:dyDescent="0.25">
      <c r="G186" s="22"/>
      <c r="H186" s="56"/>
    </row>
    <row r="187" spans="7:8" ht="13.2" x14ac:dyDescent="0.25">
      <c r="G187" s="22"/>
      <c r="H187" s="56"/>
    </row>
    <row r="188" spans="7:8" ht="13.2" x14ac:dyDescent="0.25">
      <c r="G188" s="22"/>
      <c r="H188" s="56"/>
    </row>
    <row r="189" spans="7:8" ht="13.2" x14ac:dyDescent="0.25">
      <c r="G189" s="22"/>
      <c r="H189" s="56"/>
    </row>
    <row r="190" spans="7:8" ht="13.2" x14ac:dyDescent="0.25">
      <c r="G190" s="22"/>
      <c r="H190" s="56"/>
    </row>
    <row r="191" spans="7:8" ht="13.2" x14ac:dyDescent="0.25">
      <c r="G191" s="22"/>
      <c r="H191" s="56"/>
    </row>
    <row r="192" spans="7:8" ht="13.2" x14ac:dyDescent="0.25">
      <c r="G192" s="22"/>
      <c r="H192" s="56"/>
    </row>
    <row r="193" spans="7:8" ht="13.2" x14ac:dyDescent="0.25">
      <c r="G193" s="22"/>
      <c r="H193" s="56"/>
    </row>
    <row r="194" spans="7:8" ht="13.2" x14ac:dyDescent="0.25">
      <c r="G194" s="22"/>
      <c r="H194" s="56"/>
    </row>
    <row r="195" spans="7:8" ht="13.2" x14ac:dyDescent="0.25">
      <c r="G195" s="22"/>
      <c r="H195" s="56"/>
    </row>
    <row r="196" spans="7:8" ht="13.2" x14ac:dyDescent="0.25">
      <c r="G196" s="22"/>
      <c r="H196" s="56"/>
    </row>
    <row r="197" spans="7:8" ht="13.2" x14ac:dyDescent="0.25">
      <c r="G197" s="22"/>
      <c r="H197" s="56"/>
    </row>
    <row r="198" spans="7:8" ht="13.2" x14ac:dyDescent="0.25">
      <c r="G198" s="22"/>
      <c r="H198" s="56"/>
    </row>
    <row r="199" spans="7:8" ht="13.2" x14ac:dyDescent="0.25">
      <c r="G199" s="22"/>
      <c r="H199" s="56"/>
    </row>
    <row r="200" spans="7:8" ht="13.2" x14ac:dyDescent="0.25">
      <c r="G200" s="22"/>
      <c r="H200" s="56"/>
    </row>
    <row r="201" spans="7:8" ht="13.2" x14ac:dyDescent="0.25">
      <c r="G201" s="22"/>
      <c r="H201" s="56"/>
    </row>
    <row r="202" spans="7:8" ht="13.2" x14ac:dyDescent="0.25">
      <c r="G202" s="22"/>
      <c r="H202" s="56"/>
    </row>
    <row r="203" spans="7:8" ht="13.2" x14ac:dyDescent="0.25">
      <c r="G203" s="22"/>
      <c r="H203" s="56"/>
    </row>
    <row r="204" spans="7:8" ht="13.2" x14ac:dyDescent="0.25">
      <c r="G204" s="22"/>
      <c r="H204" s="56"/>
    </row>
    <row r="205" spans="7:8" ht="13.2" x14ac:dyDescent="0.25">
      <c r="G205" s="22"/>
      <c r="H205" s="56"/>
    </row>
    <row r="206" spans="7:8" ht="13.2" x14ac:dyDescent="0.25">
      <c r="G206" s="22"/>
      <c r="H206" s="56"/>
    </row>
    <row r="207" spans="7:8" ht="13.2" x14ac:dyDescent="0.25">
      <c r="G207" s="22"/>
      <c r="H207" s="56"/>
    </row>
    <row r="208" spans="7:8" ht="13.2" x14ac:dyDescent="0.25">
      <c r="G208" s="22"/>
      <c r="H208" s="56"/>
    </row>
    <row r="209" spans="7:8" ht="13.2" x14ac:dyDescent="0.25">
      <c r="G209" s="22"/>
      <c r="H209" s="56"/>
    </row>
    <row r="210" spans="7:8" ht="13.2" x14ac:dyDescent="0.25">
      <c r="G210" s="22"/>
      <c r="H210" s="56"/>
    </row>
    <row r="211" spans="7:8" ht="13.2" x14ac:dyDescent="0.25">
      <c r="G211" s="22"/>
      <c r="H211" s="56"/>
    </row>
    <row r="212" spans="7:8" ht="13.2" x14ac:dyDescent="0.25">
      <c r="G212" s="22"/>
      <c r="H212" s="56"/>
    </row>
    <row r="213" spans="7:8" ht="13.2" x14ac:dyDescent="0.25">
      <c r="G213" s="22"/>
      <c r="H213" s="56"/>
    </row>
    <row r="214" spans="7:8" ht="13.2" x14ac:dyDescent="0.25">
      <c r="G214" s="22"/>
      <c r="H214" s="56"/>
    </row>
    <row r="215" spans="7:8" ht="13.2" x14ac:dyDescent="0.25">
      <c r="G215" s="22"/>
      <c r="H215" s="56"/>
    </row>
    <row r="216" spans="7:8" ht="13.2" x14ac:dyDescent="0.25">
      <c r="G216" s="22"/>
      <c r="H216" s="56"/>
    </row>
    <row r="217" spans="7:8" ht="13.2" x14ac:dyDescent="0.25">
      <c r="G217" s="22"/>
      <c r="H217" s="56"/>
    </row>
    <row r="218" spans="7:8" ht="13.2" x14ac:dyDescent="0.25">
      <c r="G218" s="22"/>
      <c r="H218" s="56"/>
    </row>
    <row r="219" spans="7:8" ht="13.2" x14ac:dyDescent="0.25">
      <c r="G219" s="22"/>
      <c r="H219" s="56"/>
    </row>
    <row r="220" spans="7:8" ht="13.2" x14ac:dyDescent="0.25">
      <c r="G220" s="22"/>
      <c r="H220" s="56"/>
    </row>
    <row r="221" spans="7:8" ht="13.2" x14ac:dyDescent="0.25">
      <c r="G221" s="22"/>
      <c r="H221" s="56"/>
    </row>
    <row r="222" spans="7:8" ht="13.2" x14ac:dyDescent="0.25">
      <c r="G222" s="22"/>
      <c r="H222" s="56"/>
    </row>
    <row r="223" spans="7:8" ht="13.2" x14ac:dyDescent="0.25">
      <c r="G223" s="22"/>
      <c r="H223" s="56"/>
    </row>
    <row r="224" spans="7:8" ht="13.2" x14ac:dyDescent="0.25">
      <c r="G224" s="22"/>
      <c r="H224" s="56"/>
    </row>
    <row r="225" spans="7:8" ht="13.2" x14ac:dyDescent="0.25">
      <c r="G225" s="22"/>
      <c r="H225" s="56"/>
    </row>
    <row r="226" spans="7:8" ht="13.2" x14ac:dyDescent="0.25">
      <c r="G226" s="22"/>
      <c r="H226" s="56"/>
    </row>
    <row r="227" spans="7:8" ht="13.2" x14ac:dyDescent="0.25">
      <c r="G227" s="22"/>
      <c r="H227" s="56"/>
    </row>
    <row r="228" spans="7:8" ht="13.2" x14ac:dyDescent="0.25">
      <c r="G228" s="22"/>
      <c r="H228" s="56"/>
    </row>
    <row r="229" spans="7:8" ht="13.2" x14ac:dyDescent="0.25">
      <c r="G229" s="22"/>
      <c r="H229" s="56"/>
    </row>
    <row r="230" spans="7:8" ht="13.2" x14ac:dyDescent="0.25">
      <c r="G230" s="22"/>
      <c r="H230" s="56"/>
    </row>
    <row r="231" spans="7:8" ht="13.2" x14ac:dyDescent="0.25">
      <c r="G231" s="22"/>
      <c r="H231" s="56"/>
    </row>
    <row r="232" spans="7:8" ht="13.2" x14ac:dyDescent="0.25">
      <c r="G232" s="22"/>
      <c r="H232" s="56"/>
    </row>
    <row r="233" spans="7:8" ht="13.2" x14ac:dyDescent="0.25">
      <c r="G233" s="22"/>
      <c r="H233" s="56"/>
    </row>
    <row r="234" spans="7:8" ht="13.2" x14ac:dyDescent="0.25">
      <c r="G234" s="22"/>
      <c r="H234" s="56"/>
    </row>
    <row r="235" spans="7:8" ht="13.2" x14ac:dyDescent="0.25">
      <c r="G235" s="22"/>
      <c r="H235" s="56"/>
    </row>
    <row r="236" spans="7:8" ht="13.2" x14ac:dyDescent="0.25">
      <c r="G236" s="22"/>
      <c r="H236" s="56"/>
    </row>
    <row r="237" spans="7:8" ht="13.2" x14ac:dyDescent="0.25">
      <c r="G237" s="22"/>
      <c r="H237" s="56"/>
    </row>
    <row r="238" spans="7:8" ht="13.2" x14ac:dyDescent="0.25">
      <c r="G238" s="22"/>
      <c r="H238" s="56"/>
    </row>
    <row r="239" spans="7:8" ht="13.2" x14ac:dyDescent="0.25">
      <c r="G239" s="22"/>
      <c r="H239" s="56"/>
    </row>
    <row r="240" spans="7:8" ht="13.2" x14ac:dyDescent="0.25">
      <c r="G240" s="22"/>
      <c r="H240" s="56"/>
    </row>
    <row r="241" spans="7:8" ht="13.2" x14ac:dyDescent="0.25">
      <c r="G241" s="22"/>
      <c r="H241" s="56"/>
    </row>
    <row r="242" spans="7:8" ht="13.2" x14ac:dyDescent="0.25">
      <c r="G242" s="22"/>
      <c r="H242" s="56"/>
    </row>
    <row r="243" spans="7:8" ht="13.2" x14ac:dyDescent="0.25">
      <c r="G243" s="22"/>
      <c r="H243" s="56"/>
    </row>
    <row r="244" spans="7:8" ht="13.2" x14ac:dyDescent="0.25">
      <c r="G244" s="22"/>
      <c r="H244" s="56"/>
    </row>
    <row r="245" spans="7:8" ht="13.2" x14ac:dyDescent="0.25">
      <c r="G245" s="22"/>
      <c r="H245" s="56"/>
    </row>
    <row r="246" spans="7:8" ht="13.2" x14ac:dyDescent="0.25">
      <c r="G246" s="22"/>
      <c r="H246" s="56"/>
    </row>
    <row r="247" spans="7:8" ht="13.2" x14ac:dyDescent="0.25">
      <c r="G247" s="22"/>
      <c r="H247" s="56"/>
    </row>
    <row r="248" spans="7:8" ht="13.2" x14ac:dyDescent="0.25">
      <c r="G248" s="22"/>
      <c r="H248" s="56"/>
    </row>
    <row r="249" spans="7:8" ht="13.2" x14ac:dyDescent="0.25">
      <c r="G249" s="22"/>
      <c r="H249" s="56"/>
    </row>
    <row r="250" spans="7:8" ht="13.2" x14ac:dyDescent="0.25">
      <c r="G250" s="22"/>
      <c r="H250" s="56"/>
    </row>
    <row r="251" spans="7:8" ht="13.2" x14ac:dyDescent="0.25">
      <c r="G251" s="22"/>
      <c r="H251" s="56"/>
    </row>
    <row r="252" spans="7:8" ht="13.2" x14ac:dyDescent="0.25">
      <c r="G252" s="22"/>
      <c r="H252" s="56"/>
    </row>
    <row r="253" spans="7:8" ht="13.2" x14ac:dyDescent="0.25">
      <c r="G253" s="22"/>
      <c r="H253" s="56"/>
    </row>
    <row r="254" spans="7:8" ht="13.2" x14ac:dyDescent="0.25">
      <c r="G254" s="22"/>
      <c r="H254" s="56"/>
    </row>
    <row r="255" spans="7:8" ht="13.2" x14ac:dyDescent="0.25">
      <c r="G255" s="22"/>
      <c r="H255" s="56"/>
    </row>
    <row r="256" spans="7:8" ht="13.2" x14ac:dyDescent="0.25">
      <c r="G256" s="22"/>
      <c r="H256" s="56"/>
    </row>
    <row r="257" spans="7:8" ht="13.2" x14ac:dyDescent="0.25">
      <c r="G257" s="22"/>
      <c r="H257" s="56"/>
    </row>
    <row r="258" spans="7:8" ht="13.2" x14ac:dyDescent="0.25">
      <c r="G258" s="22"/>
      <c r="H258" s="56"/>
    </row>
    <row r="259" spans="7:8" ht="13.2" x14ac:dyDescent="0.25">
      <c r="G259" s="22"/>
      <c r="H259" s="56"/>
    </row>
    <row r="260" spans="7:8" ht="13.2" x14ac:dyDescent="0.25">
      <c r="G260" s="22"/>
      <c r="H260" s="56"/>
    </row>
    <row r="261" spans="7:8" ht="13.2" x14ac:dyDescent="0.25">
      <c r="G261" s="22"/>
      <c r="H261" s="56"/>
    </row>
    <row r="262" spans="7:8" ht="13.2" x14ac:dyDescent="0.25">
      <c r="G262" s="22"/>
      <c r="H262" s="56"/>
    </row>
    <row r="263" spans="7:8" ht="13.2" x14ac:dyDescent="0.25">
      <c r="G263" s="22"/>
      <c r="H263" s="56"/>
    </row>
    <row r="264" spans="7:8" ht="13.2" x14ac:dyDescent="0.25">
      <c r="G264" s="22"/>
      <c r="H264" s="56"/>
    </row>
    <row r="265" spans="7:8" ht="13.2" x14ac:dyDescent="0.25">
      <c r="G265" s="22"/>
      <c r="H265" s="56"/>
    </row>
    <row r="266" spans="7:8" ht="13.2" x14ac:dyDescent="0.25">
      <c r="G266" s="22"/>
      <c r="H266" s="56"/>
    </row>
    <row r="267" spans="7:8" ht="13.2" x14ac:dyDescent="0.25">
      <c r="G267" s="22"/>
      <c r="H267" s="56"/>
    </row>
    <row r="268" spans="7:8" ht="13.2" x14ac:dyDescent="0.25">
      <c r="G268" s="22"/>
      <c r="H268" s="56"/>
    </row>
    <row r="269" spans="7:8" ht="13.2" x14ac:dyDescent="0.25">
      <c r="G269" s="22"/>
      <c r="H269" s="56"/>
    </row>
    <row r="270" spans="7:8" ht="13.2" x14ac:dyDescent="0.25">
      <c r="G270" s="22"/>
      <c r="H270" s="56"/>
    </row>
    <row r="271" spans="7:8" ht="13.2" x14ac:dyDescent="0.25">
      <c r="G271" s="22"/>
      <c r="H271" s="56"/>
    </row>
    <row r="272" spans="7:8" ht="13.2" x14ac:dyDescent="0.25">
      <c r="G272" s="22"/>
      <c r="H272" s="56"/>
    </row>
    <row r="273" spans="7:8" ht="13.2" x14ac:dyDescent="0.25">
      <c r="G273" s="22"/>
      <c r="H273" s="56"/>
    </row>
    <row r="274" spans="7:8" ht="13.2" x14ac:dyDescent="0.25">
      <c r="G274" s="22"/>
      <c r="H274" s="56"/>
    </row>
    <row r="275" spans="7:8" ht="13.2" x14ac:dyDescent="0.25">
      <c r="G275" s="22"/>
      <c r="H275" s="56"/>
    </row>
    <row r="276" spans="7:8" ht="13.2" x14ac:dyDescent="0.25">
      <c r="G276" s="22"/>
      <c r="H276" s="56"/>
    </row>
    <row r="277" spans="7:8" ht="13.2" x14ac:dyDescent="0.25">
      <c r="G277" s="22"/>
      <c r="H277" s="56"/>
    </row>
    <row r="278" spans="7:8" ht="13.2" x14ac:dyDescent="0.25">
      <c r="G278" s="22"/>
      <c r="H278" s="56"/>
    </row>
    <row r="279" spans="7:8" ht="13.2" x14ac:dyDescent="0.25">
      <c r="G279" s="22"/>
      <c r="H279" s="56"/>
    </row>
    <row r="280" spans="7:8" ht="13.2" x14ac:dyDescent="0.25">
      <c r="G280" s="22"/>
      <c r="H280" s="56"/>
    </row>
    <row r="281" spans="7:8" ht="13.2" x14ac:dyDescent="0.25">
      <c r="G281" s="22"/>
      <c r="H281" s="56"/>
    </row>
    <row r="282" spans="7:8" ht="13.2" x14ac:dyDescent="0.25">
      <c r="G282" s="22"/>
      <c r="H282" s="56"/>
    </row>
    <row r="283" spans="7:8" ht="13.2" x14ac:dyDescent="0.25">
      <c r="G283" s="22"/>
      <c r="H283" s="56"/>
    </row>
    <row r="284" spans="7:8" ht="13.2" x14ac:dyDescent="0.25">
      <c r="G284" s="22"/>
      <c r="H284" s="56"/>
    </row>
    <row r="285" spans="7:8" ht="13.2" x14ac:dyDescent="0.25">
      <c r="G285" s="22"/>
      <c r="H285" s="56"/>
    </row>
    <row r="286" spans="7:8" ht="13.2" x14ac:dyDescent="0.25">
      <c r="G286" s="22"/>
      <c r="H286" s="56"/>
    </row>
    <row r="287" spans="7:8" ht="13.2" x14ac:dyDescent="0.25">
      <c r="G287" s="22"/>
      <c r="H287" s="56"/>
    </row>
    <row r="288" spans="7:8" ht="13.2" x14ac:dyDescent="0.25">
      <c r="G288" s="22"/>
      <c r="H288" s="56"/>
    </row>
    <row r="289" spans="7:8" ht="13.2" x14ac:dyDescent="0.25">
      <c r="G289" s="22"/>
      <c r="H289" s="56"/>
    </row>
    <row r="290" spans="7:8" ht="13.2" x14ac:dyDescent="0.25">
      <c r="G290" s="22"/>
      <c r="H290" s="56"/>
    </row>
    <row r="291" spans="7:8" ht="13.2" x14ac:dyDescent="0.25">
      <c r="G291" s="22"/>
      <c r="H291" s="56"/>
    </row>
    <row r="292" spans="7:8" ht="13.2" x14ac:dyDescent="0.25">
      <c r="G292" s="22"/>
      <c r="H292" s="56"/>
    </row>
    <row r="293" spans="7:8" ht="13.2" x14ac:dyDescent="0.25">
      <c r="G293" s="22"/>
      <c r="H293" s="56"/>
    </row>
    <row r="294" spans="7:8" ht="13.2" x14ac:dyDescent="0.25">
      <c r="G294" s="22"/>
      <c r="H294" s="56"/>
    </row>
    <row r="295" spans="7:8" ht="13.2" x14ac:dyDescent="0.25">
      <c r="G295" s="22"/>
      <c r="H295" s="56"/>
    </row>
    <row r="296" spans="7:8" ht="13.2" x14ac:dyDescent="0.25">
      <c r="G296" s="22"/>
      <c r="H296" s="56"/>
    </row>
    <row r="297" spans="7:8" ht="13.2" x14ac:dyDescent="0.25">
      <c r="G297" s="22"/>
      <c r="H297" s="56"/>
    </row>
    <row r="298" spans="7:8" ht="13.2" x14ac:dyDescent="0.25">
      <c r="G298" s="22"/>
      <c r="H298" s="56"/>
    </row>
    <row r="299" spans="7:8" ht="13.2" x14ac:dyDescent="0.25">
      <c r="G299" s="22"/>
      <c r="H299" s="56"/>
    </row>
    <row r="300" spans="7:8" ht="13.2" x14ac:dyDescent="0.25">
      <c r="G300" s="22"/>
      <c r="H300" s="56"/>
    </row>
    <row r="301" spans="7:8" ht="13.2" x14ac:dyDescent="0.25">
      <c r="G301" s="22"/>
      <c r="H301" s="56"/>
    </row>
    <row r="302" spans="7:8" ht="13.2" x14ac:dyDescent="0.25">
      <c r="G302" s="22"/>
      <c r="H302" s="56"/>
    </row>
    <row r="303" spans="7:8" ht="13.2" x14ac:dyDescent="0.25">
      <c r="G303" s="22"/>
      <c r="H303" s="56"/>
    </row>
    <row r="304" spans="7:8" ht="13.2" x14ac:dyDescent="0.25">
      <c r="G304" s="22"/>
      <c r="H304" s="56"/>
    </row>
    <row r="305" spans="7:8" ht="13.2" x14ac:dyDescent="0.25">
      <c r="G305" s="22"/>
      <c r="H305" s="56"/>
    </row>
    <row r="306" spans="7:8" ht="13.2" x14ac:dyDescent="0.25">
      <c r="G306" s="22"/>
      <c r="H306" s="56"/>
    </row>
    <row r="307" spans="7:8" ht="13.2" x14ac:dyDescent="0.25">
      <c r="G307" s="22"/>
      <c r="H307" s="56"/>
    </row>
    <row r="308" spans="7:8" ht="13.2" x14ac:dyDescent="0.25">
      <c r="G308" s="22"/>
      <c r="H308" s="56"/>
    </row>
    <row r="309" spans="7:8" ht="13.2" x14ac:dyDescent="0.25">
      <c r="G309" s="22"/>
      <c r="H309" s="56"/>
    </row>
    <row r="310" spans="7:8" ht="13.2" x14ac:dyDescent="0.25">
      <c r="G310" s="22"/>
      <c r="H310" s="56"/>
    </row>
    <row r="311" spans="7:8" ht="13.2" x14ac:dyDescent="0.25">
      <c r="G311" s="22"/>
      <c r="H311" s="56"/>
    </row>
    <row r="312" spans="7:8" ht="13.2" x14ac:dyDescent="0.25">
      <c r="G312" s="22"/>
      <c r="H312" s="56"/>
    </row>
    <row r="313" spans="7:8" ht="13.2" x14ac:dyDescent="0.25">
      <c r="G313" s="22"/>
      <c r="H313" s="56"/>
    </row>
    <row r="314" spans="7:8" ht="13.2" x14ac:dyDescent="0.25">
      <c r="G314" s="22"/>
      <c r="H314" s="56"/>
    </row>
    <row r="315" spans="7:8" ht="13.2" x14ac:dyDescent="0.25">
      <c r="G315" s="22"/>
      <c r="H315" s="56"/>
    </row>
    <row r="316" spans="7:8" ht="13.2" x14ac:dyDescent="0.25">
      <c r="G316" s="22"/>
      <c r="H316" s="56"/>
    </row>
    <row r="317" spans="7:8" ht="13.2" x14ac:dyDescent="0.25">
      <c r="G317" s="22"/>
      <c r="H317" s="56"/>
    </row>
    <row r="318" spans="7:8" ht="13.2" x14ac:dyDescent="0.25">
      <c r="G318" s="22"/>
      <c r="H318" s="56"/>
    </row>
    <row r="319" spans="7:8" ht="13.2" x14ac:dyDescent="0.25">
      <c r="G319" s="22"/>
      <c r="H319" s="56"/>
    </row>
    <row r="320" spans="7:8" ht="13.2" x14ac:dyDescent="0.25">
      <c r="G320" s="22"/>
      <c r="H320" s="56"/>
    </row>
    <row r="321" spans="7:8" ht="13.2" x14ac:dyDescent="0.25">
      <c r="G321" s="22"/>
      <c r="H321" s="56"/>
    </row>
    <row r="322" spans="7:8" ht="13.2" x14ac:dyDescent="0.25">
      <c r="G322" s="22"/>
      <c r="H322" s="56"/>
    </row>
    <row r="323" spans="7:8" ht="13.2" x14ac:dyDescent="0.25">
      <c r="G323" s="22"/>
      <c r="H323" s="56"/>
    </row>
    <row r="324" spans="7:8" ht="13.2" x14ac:dyDescent="0.25">
      <c r="G324" s="22"/>
      <c r="H324" s="56"/>
    </row>
    <row r="325" spans="7:8" ht="13.2" x14ac:dyDescent="0.25">
      <c r="G325" s="22"/>
      <c r="H325" s="56"/>
    </row>
    <row r="326" spans="7:8" ht="13.2" x14ac:dyDescent="0.25">
      <c r="G326" s="22"/>
      <c r="H326" s="56"/>
    </row>
    <row r="327" spans="7:8" ht="13.2" x14ac:dyDescent="0.25">
      <c r="G327" s="22"/>
      <c r="H327" s="56"/>
    </row>
    <row r="328" spans="7:8" ht="13.2" x14ac:dyDescent="0.25">
      <c r="G328" s="22"/>
      <c r="H328" s="56"/>
    </row>
    <row r="329" spans="7:8" ht="13.2" x14ac:dyDescent="0.25">
      <c r="G329" s="22"/>
      <c r="H329" s="56"/>
    </row>
    <row r="330" spans="7:8" ht="13.2" x14ac:dyDescent="0.25">
      <c r="G330" s="22"/>
      <c r="H330" s="56"/>
    </row>
    <row r="331" spans="7:8" ht="13.2" x14ac:dyDescent="0.25">
      <c r="G331" s="22"/>
      <c r="H331" s="56"/>
    </row>
    <row r="332" spans="7:8" ht="13.2" x14ac:dyDescent="0.25">
      <c r="G332" s="22"/>
      <c r="H332" s="56"/>
    </row>
    <row r="333" spans="7:8" ht="13.2" x14ac:dyDescent="0.25">
      <c r="G333" s="22"/>
      <c r="H333" s="56"/>
    </row>
    <row r="334" spans="7:8" ht="13.2" x14ac:dyDescent="0.25">
      <c r="G334" s="22"/>
      <c r="H334" s="56"/>
    </row>
    <row r="335" spans="7:8" ht="13.2" x14ac:dyDescent="0.25">
      <c r="G335" s="22"/>
      <c r="H335" s="56"/>
    </row>
    <row r="336" spans="7:8" ht="13.2" x14ac:dyDescent="0.25">
      <c r="G336" s="22"/>
      <c r="H336" s="56"/>
    </row>
    <row r="337" spans="7:8" ht="13.2" x14ac:dyDescent="0.25">
      <c r="G337" s="22"/>
      <c r="H337" s="56"/>
    </row>
    <row r="338" spans="7:8" ht="13.2" x14ac:dyDescent="0.25">
      <c r="G338" s="22"/>
      <c r="H338" s="56"/>
    </row>
    <row r="339" spans="7:8" ht="13.2" x14ac:dyDescent="0.25">
      <c r="G339" s="22"/>
      <c r="H339" s="56"/>
    </row>
    <row r="340" spans="7:8" ht="13.2" x14ac:dyDescent="0.25">
      <c r="G340" s="22"/>
      <c r="H340" s="56"/>
    </row>
    <row r="341" spans="7:8" ht="13.2" x14ac:dyDescent="0.25">
      <c r="G341" s="22"/>
      <c r="H341" s="56"/>
    </row>
    <row r="342" spans="7:8" ht="13.2" x14ac:dyDescent="0.25">
      <c r="G342" s="22"/>
      <c r="H342" s="56"/>
    </row>
    <row r="343" spans="7:8" ht="13.2" x14ac:dyDescent="0.25">
      <c r="G343" s="22"/>
      <c r="H343" s="56"/>
    </row>
    <row r="344" spans="7:8" ht="13.2" x14ac:dyDescent="0.25">
      <c r="G344" s="22"/>
      <c r="H344" s="56"/>
    </row>
    <row r="345" spans="7:8" ht="13.2" x14ac:dyDescent="0.25">
      <c r="G345" s="22"/>
      <c r="H345" s="56"/>
    </row>
    <row r="346" spans="7:8" ht="13.2" x14ac:dyDescent="0.25">
      <c r="G346" s="22"/>
      <c r="H346" s="56"/>
    </row>
    <row r="347" spans="7:8" ht="13.2" x14ac:dyDescent="0.25">
      <c r="G347" s="22"/>
      <c r="H347" s="56"/>
    </row>
    <row r="348" spans="7:8" ht="13.2" x14ac:dyDescent="0.25">
      <c r="G348" s="22"/>
      <c r="H348" s="56"/>
    </row>
    <row r="349" spans="7:8" ht="13.2" x14ac:dyDescent="0.25">
      <c r="G349" s="22"/>
      <c r="H349" s="56"/>
    </row>
    <row r="350" spans="7:8" ht="13.2" x14ac:dyDescent="0.25">
      <c r="G350" s="22"/>
      <c r="H350" s="56"/>
    </row>
    <row r="351" spans="7:8" ht="13.2" x14ac:dyDescent="0.25">
      <c r="G351" s="22"/>
      <c r="H351" s="56"/>
    </row>
    <row r="352" spans="7:8" ht="13.2" x14ac:dyDescent="0.25">
      <c r="G352" s="22"/>
      <c r="H352" s="56"/>
    </row>
    <row r="353" spans="7:8" ht="13.2" x14ac:dyDescent="0.25">
      <c r="G353" s="22"/>
      <c r="H353" s="56"/>
    </row>
    <row r="354" spans="7:8" ht="13.2" x14ac:dyDescent="0.25">
      <c r="G354" s="22"/>
      <c r="H354" s="56"/>
    </row>
    <row r="355" spans="7:8" ht="13.2" x14ac:dyDescent="0.25">
      <c r="G355" s="22"/>
      <c r="H355" s="56"/>
    </row>
    <row r="356" spans="7:8" ht="13.2" x14ac:dyDescent="0.25">
      <c r="G356" s="22"/>
      <c r="H356" s="56"/>
    </row>
    <row r="357" spans="7:8" ht="13.2" x14ac:dyDescent="0.25">
      <c r="G357" s="22"/>
      <c r="H357" s="56"/>
    </row>
    <row r="358" spans="7:8" ht="13.2" x14ac:dyDescent="0.25">
      <c r="G358" s="22"/>
      <c r="H358" s="56"/>
    </row>
    <row r="359" spans="7:8" ht="13.2" x14ac:dyDescent="0.25">
      <c r="G359" s="22"/>
      <c r="H359" s="56"/>
    </row>
    <row r="360" spans="7:8" ht="13.2" x14ac:dyDescent="0.25">
      <c r="G360" s="22"/>
      <c r="H360" s="56"/>
    </row>
    <row r="361" spans="7:8" ht="13.2" x14ac:dyDescent="0.25">
      <c r="G361" s="22"/>
      <c r="H361" s="56"/>
    </row>
    <row r="362" spans="7:8" ht="13.2" x14ac:dyDescent="0.25">
      <c r="G362" s="22"/>
      <c r="H362" s="56"/>
    </row>
    <row r="363" spans="7:8" ht="13.2" x14ac:dyDescent="0.25">
      <c r="G363" s="22"/>
      <c r="H363" s="56"/>
    </row>
    <row r="364" spans="7:8" ht="13.2" x14ac:dyDescent="0.25">
      <c r="G364" s="22"/>
      <c r="H364" s="56"/>
    </row>
    <row r="365" spans="7:8" ht="13.2" x14ac:dyDescent="0.25">
      <c r="G365" s="22"/>
      <c r="H365" s="56"/>
    </row>
    <row r="366" spans="7:8" ht="13.2" x14ac:dyDescent="0.25">
      <c r="G366" s="22"/>
      <c r="H366" s="56"/>
    </row>
    <row r="367" spans="7:8" ht="13.2" x14ac:dyDescent="0.25">
      <c r="G367" s="22"/>
      <c r="H367" s="56"/>
    </row>
    <row r="368" spans="7:8" ht="13.2" x14ac:dyDescent="0.25">
      <c r="G368" s="22"/>
      <c r="H368" s="56"/>
    </row>
    <row r="369" spans="7:8" ht="13.2" x14ac:dyDescent="0.25">
      <c r="G369" s="22"/>
      <c r="H369" s="56"/>
    </row>
    <row r="370" spans="7:8" ht="13.2" x14ac:dyDescent="0.25">
      <c r="G370" s="22"/>
      <c r="H370" s="56"/>
    </row>
    <row r="371" spans="7:8" ht="13.2" x14ac:dyDescent="0.25">
      <c r="G371" s="22"/>
      <c r="H371" s="56"/>
    </row>
    <row r="372" spans="7:8" ht="13.2" x14ac:dyDescent="0.25">
      <c r="G372" s="22"/>
      <c r="H372" s="56"/>
    </row>
    <row r="373" spans="7:8" ht="13.2" x14ac:dyDescent="0.25">
      <c r="G373" s="22"/>
      <c r="H373" s="56"/>
    </row>
    <row r="374" spans="7:8" ht="13.2" x14ac:dyDescent="0.25">
      <c r="G374" s="22"/>
      <c r="H374" s="56"/>
    </row>
    <row r="375" spans="7:8" ht="13.2" x14ac:dyDescent="0.25">
      <c r="G375" s="22"/>
      <c r="H375" s="56"/>
    </row>
    <row r="376" spans="7:8" ht="13.2" x14ac:dyDescent="0.25">
      <c r="G376" s="22"/>
      <c r="H376" s="56"/>
    </row>
    <row r="377" spans="7:8" ht="13.2" x14ac:dyDescent="0.25">
      <c r="G377" s="22"/>
      <c r="H377" s="56"/>
    </row>
    <row r="378" spans="7:8" ht="13.2" x14ac:dyDescent="0.25">
      <c r="G378" s="22"/>
      <c r="H378" s="56"/>
    </row>
    <row r="379" spans="7:8" ht="13.2" x14ac:dyDescent="0.25">
      <c r="G379" s="22"/>
      <c r="H379" s="56"/>
    </row>
    <row r="380" spans="7:8" ht="13.2" x14ac:dyDescent="0.25">
      <c r="G380" s="22"/>
      <c r="H380" s="56"/>
    </row>
    <row r="381" spans="7:8" ht="13.2" x14ac:dyDescent="0.25">
      <c r="G381" s="22"/>
      <c r="H381" s="56"/>
    </row>
    <row r="382" spans="7:8" ht="13.2" x14ac:dyDescent="0.25">
      <c r="G382" s="22"/>
      <c r="H382" s="56"/>
    </row>
    <row r="383" spans="7:8" ht="13.2" x14ac:dyDescent="0.25">
      <c r="G383" s="22"/>
      <c r="H383" s="56"/>
    </row>
    <row r="384" spans="7:8" ht="13.2" x14ac:dyDescent="0.25">
      <c r="G384" s="22"/>
      <c r="H384" s="56"/>
    </row>
    <row r="385" spans="7:8" ht="13.2" x14ac:dyDescent="0.25">
      <c r="G385" s="22"/>
      <c r="H385" s="56"/>
    </row>
    <row r="386" spans="7:8" ht="13.2" x14ac:dyDescent="0.25">
      <c r="G386" s="22"/>
      <c r="H386" s="56"/>
    </row>
    <row r="387" spans="7:8" ht="13.2" x14ac:dyDescent="0.25">
      <c r="G387" s="22"/>
      <c r="H387" s="56"/>
    </row>
    <row r="388" spans="7:8" ht="13.2" x14ac:dyDescent="0.25">
      <c r="G388" s="22"/>
      <c r="H388" s="56"/>
    </row>
    <row r="389" spans="7:8" ht="13.2" x14ac:dyDescent="0.25">
      <c r="G389" s="22"/>
      <c r="H389" s="56"/>
    </row>
    <row r="390" spans="7:8" ht="13.2" x14ac:dyDescent="0.25">
      <c r="G390" s="22"/>
      <c r="H390" s="56"/>
    </row>
    <row r="391" spans="7:8" ht="13.2" x14ac:dyDescent="0.25">
      <c r="G391" s="22"/>
      <c r="H391" s="56"/>
    </row>
    <row r="392" spans="7:8" ht="13.2" x14ac:dyDescent="0.25">
      <c r="G392" s="22"/>
      <c r="H392" s="56"/>
    </row>
    <row r="393" spans="7:8" ht="13.2" x14ac:dyDescent="0.25">
      <c r="G393" s="22"/>
      <c r="H393" s="56"/>
    </row>
    <row r="394" spans="7:8" ht="13.2" x14ac:dyDescent="0.25">
      <c r="G394" s="22"/>
      <c r="H394" s="56"/>
    </row>
    <row r="395" spans="7:8" ht="13.2" x14ac:dyDescent="0.25">
      <c r="G395" s="22"/>
      <c r="H395" s="56"/>
    </row>
    <row r="396" spans="7:8" ht="13.2" x14ac:dyDescent="0.25">
      <c r="G396" s="22"/>
      <c r="H396" s="56"/>
    </row>
    <row r="397" spans="7:8" ht="13.2" x14ac:dyDescent="0.25">
      <c r="G397" s="22"/>
      <c r="H397" s="56"/>
    </row>
    <row r="398" spans="7:8" ht="13.2" x14ac:dyDescent="0.25">
      <c r="G398" s="22"/>
      <c r="H398" s="56"/>
    </row>
    <row r="399" spans="7:8" ht="13.2" x14ac:dyDescent="0.25">
      <c r="G399" s="22"/>
      <c r="H399" s="56"/>
    </row>
    <row r="400" spans="7:8" ht="13.2" x14ac:dyDescent="0.25">
      <c r="G400" s="22"/>
      <c r="H400" s="56"/>
    </row>
    <row r="401" spans="7:8" ht="13.2" x14ac:dyDescent="0.25">
      <c r="G401" s="22"/>
      <c r="H401" s="56"/>
    </row>
    <row r="402" spans="7:8" ht="13.2" x14ac:dyDescent="0.25">
      <c r="G402" s="22"/>
      <c r="H402" s="56"/>
    </row>
    <row r="403" spans="7:8" ht="13.2" x14ac:dyDescent="0.25">
      <c r="G403" s="22"/>
      <c r="H403" s="56"/>
    </row>
    <row r="404" spans="7:8" ht="13.2" x14ac:dyDescent="0.25">
      <c r="G404" s="22"/>
      <c r="H404" s="56"/>
    </row>
    <row r="405" spans="7:8" ht="13.2" x14ac:dyDescent="0.25">
      <c r="G405" s="22"/>
      <c r="H405" s="56"/>
    </row>
    <row r="406" spans="7:8" ht="13.2" x14ac:dyDescent="0.25">
      <c r="G406" s="22"/>
      <c r="H406" s="56"/>
    </row>
    <row r="407" spans="7:8" ht="13.2" x14ac:dyDescent="0.25">
      <c r="G407" s="22"/>
      <c r="H407" s="56"/>
    </row>
    <row r="408" spans="7:8" ht="13.2" x14ac:dyDescent="0.25">
      <c r="G408" s="22"/>
      <c r="H408" s="56"/>
    </row>
    <row r="409" spans="7:8" ht="13.2" x14ac:dyDescent="0.25">
      <c r="G409" s="22"/>
      <c r="H409" s="56"/>
    </row>
    <row r="410" spans="7:8" ht="13.2" x14ac:dyDescent="0.25">
      <c r="G410" s="22"/>
      <c r="H410" s="56"/>
    </row>
    <row r="411" spans="7:8" ht="13.2" x14ac:dyDescent="0.25">
      <c r="G411" s="22"/>
      <c r="H411" s="56"/>
    </row>
    <row r="412" spans="7:8" ht="13.2" x14ac:dyDescent="0.25">
      <c r="G412" s="22"/>
      <c r="H412" s="56"/>
    </row>
    <row r="413" spans="7:8" ht="13.2" x14ac:dyDescent="0.25">
      <c r="G413" s="22"/>
      <c r="H413" s="56"/>
    </row>
    <row r="414" spans="7:8" ht="13.2" x14ac:dyDescent="0.25">
      <c r="G414" s="22"/>
      <c r="H414" s="56"/>
    </row>
    <row r="415" spans="7:8" ht="13.2" x14ac:dyDescent="0.25">
      <c r="G415" s="22"/>
      <c r="H415" s="56"/>
    </row>
    <row r="416" spans="7:8" ht="13.2" x14ac:dyDescent="0.25">
      <c r="G416" s="22"/>
      <c r="H416" s="56"/>
    </row>
    <row r="417" spans="7:8" ht="13.2" x14ac:dyDescent="0.25">
      <c r="G417" s="22"/>
      <c r="H417" s="56"/>
    </row>
    <row r="418" spans="7:8" ht="13.2" x14ac:dyDescent="0.25">
      <c r="G418" s="22"/>
      <c r="H418" s="56"/>
    </row>
    <row r="419" spans="7:8" ht="13.2" x14ac:dyDescent="0.25">
      <c r="G419" s="22"/>
      <c r="H419" s="56"/>
    </row>
    <row r="420" spans="7:8" ht="13.2" x14ac:dyDescent="0.25">
      <c r="G420" s="22"/>
      <c r="H420" s="56"/>
    </row>
    <row r="421" spans="7:8" ht="13.2" x14ac:dyDescent="0.25">
      <c r="G421" s="22"/>
      <c r="H421" s="56"/>
    </row>
    <row r="422" spans="7:8" ht="13.2" x14ac:dyDescent="0.25">
      <c r="G422" s="22"/>
      <c r="H422" s="56"/>
    </row>
    <row r="423" spans="7:8" ht="13.2" x14ac:dyDescent="0.25">
      <c r="G423" s="22"/>
      <c r="H423" s="56"/>
    </row>
    <row r="424" spans="7:8" ht="13.2" x14ac:dyDescent="0.25">
      <c r="G424" s="22"/>
      <c r="H424" s="56"/>
    </row>
    <row r="425" spans="7:8" ht="13.2" x14ac:dyDescent="0.25">
      <c r="G425" s="22"/>
      <c r="H425" s="56"/>
    </row>
    <row r="426" spans="7:8" ht="13.2" x14ac:dyDescent="0.25">
      <c r="G426" s="22"/>
      <c r="H426" s="56"/>
    </row>
    <row r="427" spans="7:8" ht="13.2" x14ac:dyDescent="0.25">
      <c r="G427" s="22"/>
      <c r="H427" s="56"/>
    </row>
    <row r="428" spans="7:8" ht="13.2" x14ac:dyDescent="0.25">
      <c r="G428" s="22"/>
      <c r="H428" s="56"/>
    </row>
    <row r="429" spans="7:8" ht="13.2" x14ac:dyDescent="0.25">
      <c r="G429" s="22"/>
      <c r="H429" s="56"/>
    </row>
    <row r="430" spans="7:8" ht="13.2" x14ac:dyDescent="0.25">
      <c r="G430" s="22"/>
      <c r="H430" s="56"/>
    </row>
    <row r="431" spans="7:8" ht="13.2" x14ac:dyDescent="0.25">
      <c r="G431" s="22"/>
      <c r="H431" s="56"/>
    </row>
    <row r="432" spans="7:8" ht="13.2" x14ac:dyDescent="0.25">
      <c r="G432" s="22"/>
      <c r="H432" s="56"/>
    </row>
    <row r="433" spans="7:8" ht="13.2" x14ac:dyDescent="0.25">
      <c r="G433" s="22"/>
      <c r="H433" s="56"/>
    </row>
    <row r="434" spans="7:8" ht="13.2" x14ac:dyDescent="0.25">
      <c r="G434" s="22"/>
      <c r="H434" s="56"/>
    </row>
    <row r="435" spans="7:8" ht="13.2" x14ac:dyDescent="0.25">
      <c r="G435" s="22"/>
      <c r="H435" s="56"/>
    </row>
    <row r="436" spans="7:8" ht="13.2" x14ac:dyDescent="0.25">
      <c r="G436" s="22"/>
      <c r="H436" s="56"/>
    </row>
    <row r="437" spans="7:8" ht="13.2" x14ac:dyDescent="0.25">
      <c r="G437" s="22"/>
      <c r="H437" s="56"/>
    </row>
    <row r="438" spans="7:8" ht="13.2" x14ac:dyDescent="0.25">
      <c r="G438" s="22"/>
      <c r="H438" s="56"/>
    </row>
    <row r="439" spans="7:8" ht="13.2" x14ac:dyDescent="0.25">
      <c r="G439" s="22"/>
      <c r="H439" s="56"/>
    </row>
    <row r="440" spans="7:8" ht="13.2" x14ac:dyDescent="0.25">
      <c r="G440" s="22"/>
      <c r="H440" s="56"/>
    </row>
    <row r="441" spans="7:8" ht="13.2" x14ac:dyDescent="0.25">
      <c r="G441" s="22"/>
      <c r="H441" s="56"/>
    </row>
    <row r="442" spans="7:8" ht="13.2" x14ac:dyDescent="0.25">
      <c r="G442" s="22"/>
      <c r="H442" s="56"/>
    </row>
    <row r="443" spans="7:8" ht="13.2" x14ac:dyDescent="0.25">
      <c r="G443" s="22"/>
      <c r="H443" s="56"/>
    </row>
    <row r="444" spans="7:8" ht="13.2" x14ac:dyDescent="0.25">
      <c r="G444" s="22"/>
      <c r="H444" s="56"/>
    </row>
    <row r="445" spans="7:8" ht="13.2" x14ac:dyDescent="0.25">
      <c r="G445" s="22"/>
      <c r="H445" s="56"/>
    </row>
    <row r="446" spans="7:8" ht="13.2" x14ac:dyDescent="0.25">
      <c r="G446" s="22"/>
      <c r="H446" s="56"/>
    </row>
    <row r="447" spans="7:8" ht="13.2" x14ac:dyDescent="0.25">
      <c r="G447" s="22"/>
      <c r="H447" s="56"/>
    </row>
    <row r="448" spans="7:8" ht="13.2" x14ac:dyDescent="0.25">
      <c r="G448" s="22"/>
      <c r="H448" s="56"/>
    </row>
    <row r="449" spans="7:8" ht="13.2" x14ac:dyDescent="0.25">
      <c r="G449" s="22"/>
      <c r="H449" s="56"/>
    </row>
    <row r="450" spans="7:8" ht="13.2" x14ac:dyDescent="0.25">
      <c r="G450" s="22"/>
      <c r="H450" s="56"/>
    </row>
    <row r="451" spans="7:8" ht="13.2" x14ac:dyDescent="0.25">
      <c r="G451" s="22"/>
      <c r="H451" s="56"/>
    </row>
    <row r="452" spans="7:8" ht="13.2" x14ac:dyDescent="0.25">
      <c r="G452" s="22"/>
      <c r="H452" s="56"/>
    </row>
    <row r="453" spans="7:8" ht="13.2" x14ac:dyDescent="0.25">
      <c r="G453" s="22"/>
      <c r="H453" s="56"/>
    </row>
    <row r="454" spans="7:8" ht="13.2" x14ac:dyDescent="0.25">
      <c r="G454" s="22"/>
      <c r="H454" s="56"/>
    </row>
    <row r="455" spans="7:8" ht="13.2" x14ac:dyDescent="0.25">
      <c r="G455" s="22"/>
      <c r="H455" s="56"/>
    </row>
    <row r="456" spans="7:8" ht="13.2" x14ac:dyDescent="0.25">
      <c r="G456" s="22"/>
      <c r="H456" s="56"/>
    </row>
    <row r="457" spans="7:8" ht="13.2" x14ac:dyDescent="0.25">
      <c r="G457" s="22"/>
      <c r="H457" s="56"/>
    </row>
    <row r="458" spans="7:8" ht="13.2" x14ac:dyDescent="0.25">
      <c r="G458" s="22"/>
      <c r="H458" s="56"/>
    </row>
    <row r="459" spans="7:8" ht="13.2" x14ac:dyDescent="0.25">
      <c r="G459" s="22"/>
      <c r="H459" s="56"/>
    </row>
    <row r="460" spans="7:8" ht="13.2" x14ac:dyDescent="0.25">
      <c r="G460" s="22"/>
      <c r="H460" s="56"/>
    </row>
    <row r="461" spans="7:8" ht="13.2" x14ac:dyDescent="0.25">
      <c r="G461" s="22"/>
      <c r="H461" s="56"/>
    </row>
    <row r="462" spans="7:8" ht="13.2" x14ac:dyDescent="0.25">
      <c r="G462" s="22"/>
      <c r="H462" s="56"/>
    </row>
    <row r="463" spans="7:8" ht="13.2" x14ac:dyDescent="0.25">
      <c r="G463" s="22"/>
      <c r="H463" s="56"/>
    </row>
    <row r="464" spans="7:8" ht="13.2" x14ac:dyDescent="0.25">
      <c r="G464" s="22"/>
      <c r="H464" s="56"/>
    </row>
    <row r="465" spans="7:8" ht="13.2" x14ac:dyDescent="0.25">
      <c r="G465" s="22"/>
      <c r="H465" s="56"/>
    </row>
    <row r="466" spans="7:8" ht="13.2" x14ac:dyDescent="0.25">
      <c r="G466" s="22"/>
      <c r="H466" s="56"/>
    </row>
    <row r="467" spans="7:8" ht="13.2" x14ac:dyDescent="0.25">
      <c r="G467" s="22"/>
      <c r="H467" s="56"/>
    </row>
    <row r="468" spans="7:8" ht="13.2" x14ac:dyDescent="0.25">
      <c r="G468" s="22"/>
      <c r="H468" s="56"/>
    </row>
    <row r="469" spans="7:8" ht="13.2" x14ac:dyDescent="0.25">
      <c r="G469" s="22"/>
      <c r="H469" s="56"/>
    </row>
    <row r="470" spans="7:8" ht="13.2" x14ac:dyDescent="0.25">
      <c r="G470" s="22"/>
      <c r="H470" s="56"/>
    </row>
    <row r="471" spans="7:8" ht="13.2" x14ac:dyDescent="0.25">
      <c r="G471" s="22"/>
      <c r="H471" s="56"/>
    </row>
    <row r="472" spans="7:8" ht="13.2" x14ac:dyDescent="0.25">
      <c r="G472" s="22"/>
      <c r="H472" s="56"/>
    </row>
    <row r="473" spans="7:8" ht="13.2" x14ac:dyDescent="0.25">
      <c r="G473" s="22"/>
      <c r="H473" s="56"/>
    </row>
    <row r="474" spans="7:8" ht="13.2" x14ac:dyDescent="0.25">
      <c r="G474" s="22"/>
      <c r="H474" s="56"/>
    </row>
    <row r="475" spans="7:8" ht="13.2" x14ac:dyDescent="0.25">
      <c r="G475" s="22"/>
      <c r="H475" s="56"/>
    </row>
    <row r="476" spans="7:8" ht="13.2" x14ac:dyDescent="0.25">
      <c r="G476" s="22"/>
      <c r="H476" s="56"/>
    </row>
    <row r="477" spans="7:8" ht="13.2" x14ac:dyDescent="0.25">
      <c r="G477" s="22"/>
      <c r="H477" s="56"/>
    </row>
    <row r="478" spans="7:8" ht="13.2" x14ac:dyDescent="0.25">
      <c r="G478" s="22"/>
      <c r="H478" s="56"/>
    </row>
    <row r="479" spans="7:8" ht="13.2" x14ac:dyDescent="0.25">
      <c r="G479" s="22"/>
      <c r="H479" s="56"/>
    </row>
    <row r="480" spans="7:8" ht="13.2" x14ac:dyDescent="0.25">
      <c r="G480" s="22"/>
      <c r="H480" s="56"/>
    </row>
    <row r="481" spans="7:8" ht="13.2" x14ac:dyDescent="0.25">
      <c r="G481" s="22"/>
      <c r="H481" s="56"/>
    </row>
    <row r="482" spans="7:8" ht="13.2" x14ac:dyDescent="0.25">
      <c r="G482" s="22"/>
      <c r="H482" s="56"/>
    </row>
    <row r="483" spans="7:8" ht="13.2" x14ac:dyDescent="0.25">
      <c r="G483" s="22"/>
      <c r="H483" s="56"/>
    </row>
    <row r="484" spans="7:8" ht="13.2" x14ac:dyDescent="0.25">
      <c r="G484" s="22"/>
      <c r="H484" s="56"/>
    </row>
    <row r="485" spans="7:8" ht="13.2" x14ac:dyDescent="0.25">
      <c r="G485" s="22"/>
      <c r="H485" s="56"/>
    </row>
    <row r="486" spans="7:8" ht="13.2" x14ac:dyDescent="0.25">
      <c r="G486" s="22"/>
      <c r="H486" s="56"/>
    </row>
    <row r="487" spans="7:8" ht="13.2" x14ac:dyDescent="0.25">
      <c r="G487" s="22"/>
      <c r="H487" s="56"/>
    </row>
    <row r="488" spans="7:8" ht="13.2" x14ac:dyDescent="0.25">
      <c r="G488" s="22"/>
      <c r="H488" s="56"/>
    </row>
    <row r="489" spans="7:8" ht="13.2" x14ac:dyDescent="0.25">
      <c r="G489" s="22"/>
      <c r="H489" s="56"/>
    </row>
    <row r="490" spans="7:8" ht="13.2" x14ac:dyDescent="0.25">
      <c r="G490" s="22"/>
      <c r="H490" s="56"/>
    </row>
    <row r="491" spans="7:8" ht="13.2" x14ac:dyDescent="0.25">
      <c r="G491" s="22"/>
      <c r="H491" s="56"/>
    </row>
    <row r="492" spans="7:8" ht="13.2" x14ac:dyDescent="0.25">
      <c r="G492" s="22"/>
      <c r="H492" s="56"/>
    </row>
    <row r="493" spans="7:8" ht="13.2" x14ac:dyDescent="0.25">
      <c r="G493" s="22"/>
      <c r="H493" s="56"/>
    </row>
    <row r="494" spans="7:8" ht="13.2" x14ac:dyDescent="0.25">
      <c r="G494" s="22"/>
      <c r="H494" s="56"/>
    </row>
    <row r="495" spans="7:8" ht="13.2" x14ac:dyDescent="0.25">
      <c r="G495" s="22"/>
      <c r="H495" s="56"/>
    </row>
    <row r="496" spans="7:8" ht="13.2" x14ac:dyDescent="0.25">
      <c r="G496" s="22"/>
      <c r="H496" s="56"/>
    </row>
    <row r="497" spans="7:8" ht="13.2" x14ac:dyDescent="0.25">
      <c r="G497" s="22"/>
      <c r="H497" s="56"/>
    </row>
    <row r="498" spans="7:8" ht="13.2" x14ac:dyDescent="0.25">
      <c r="G498" s="22"/>
      <c r="H498" s="56"/>
    </row>
    <row r="499" spans="7:8" ht="13.2" x14ac:dyDescent="0.25">
      <c r="G499" s="22"/>
      <c r="H499" s="56"/>
    </row>
    <row r="500" spans="7:8" ht="13.2" x14ac:dyDescent="0.25">
      <c r="G500" s="22"/>
      <c r="H500" s="56"/>
    </row>
    <row r="501" spans="7:8" ht="13.2" x14ac:dyDescent="0.25">
      <c r="G501" s="22"/>
      <c r="H501" s="56"/>
    </row>
    <row r="502" spans="7:8" ht="13.2" x14ac:dyDescent="0.25">
      <c r="G502" s="22"/>
      <c r="H502" s="56"/>
    </row>
    <row r="503" spans="7:8" ht="13.2" x14ac:dyDescent="0.25">
      <c r="G503" s="22"/>
      <c r="H503" s="56"/>
    </row>
    <row r="504" spans="7:8" ht="13.2" x14ac:dyDescent="0.25">
      <c r="G504" s="22"/>
      <c r="H504" s="56"/>
    </row>
    <row r="505" spans="7:8" ht="13.2" x14ac:dyDescent="0.25">
      <c r="G505" s="22"/>
      <c r="H505" s="56"/>
    </row>
    <row r="506" spans="7:8" ht="13.2" x14ac:dyDescent="0.25">
      <c r="G506" s="22"/>
      <c r="H506" s="56"/>
    </row>
    <row r="507" spans="7:8" ht="13.2" x14ac:dyDescent="0.25">
      <c r="G507" s="22"/>
      <c r="H507" s="56"/>
    </row>
    <row r="508" spans="7:8" ht="13.2" x14ac:dyDescent="0.25">
      <c r="G508" s="22"/>
      <c r="H508" s="56"/>
    </row>
    <row r="509" spans="7:8" ht="13.2" x14ac:dyDescent="0.25">
      <c r="G509" s="22"/>
      <c r="H509" s="56"/>
    </row>
    <row r="510" spans="7:8" ht="13.2" x14ac:dyDescent="0.25">
      <c r="G510" s="22"/>
      <c r="H510" s="56"/>
    </row>
    <row r="511" spans="7:8" ht="13.2" x14ac:dyDescent="0.25">
      <c r="G511" s="22"/>
      <c r="H511" s="56"/>
    </row>
    <row r="512" spans="7:8" ht="13.2" x14ac:dyDescent="0.25">
      <c r="G512" s="22"/>
      <c r="H512" s="56"/>
    </row>
    <row r="513" spans="7:8" ht="13.2" x14ac:dyDescent="0.25">
      <c r="G513" s="22"/>
      <c r="H513" s="56"/>
    </row>
    <row r="514" spans="7:8" ht="13.2" x14ac:dyDescent="0.25">
      <c r="G514" s="22"/>
      <c r="H514" s="56"/>
    </row>
    <row r="515" spans="7:8" ht="13.2" x14ac:dyDescent="0.25">
      <c r="G515" s="22"/>
      <c r="H515" s="56"/>
    </row>
    <row r="516" spans="7:8" ht="13.2" x14ac:dyDescent="0.25">
      <c r="G516" s="22"/>
      <c r="H516" s="56"/>
    </row>
    <row r="517" spans="7:8" ht="13.2" x14ac:dyDescent="0.25">
      <c r="G517" s="22"/>
      <c r="H517" s="56"/>
    </row>
    <row r="518" spans="7:8" ht="13.2" x14ac:dyDescent="0.25">
      <c r="G518" s="22"/>
      <c r="H518" s="56"/>
    </row>
    <row r="519" spans="7:8" ht="13.2" x14ac:dyDescent="0.25">
      <c r="G519" s="22"/>
      <c r="H519" s="56"/>
    </row>
    <row r="520" spans="7:8" ht="13.2" x14ac:dyDescent="0.25">
      <c r="G520" s="22"/>
      <c r="H520" s="56"/>
    </row>
    <row r="521" spans="7:8" ht="13.2" x14ac:dyDescent="0.25">
      <c r="G521" s="22"/>
      <c r="H521" s="56"/>
    </row>
    <row r="522" spans="7:8" ht="13.2" x14ac:dyDescent="0.25">
      <c r="G522" s="22"/>
      <c r="H522" s="56"/>
    </row>
    <row r="523" spans="7:8" ht="13.2" x14ac:dyDescent="0.25">
      <c r="G523" s="22"/>
      <c r="H523" s="56"/>
    </row>
    <row r="524" spans="7:8" ht="13.2" x14ac:dyDescent="0.25">
      <c r="G524" s="22"/>
      <c r="H524" s="56"/>
    </row>
    <row r="525" spans="7:8" ht="13.2" x14ac:dyDescent="0.25">
      <c r="G525" s="22"/>
      <c r="H525" s="56"/>
    </row>
    <row r="526" spans="7:8" ht="13.2" x14ac:dyDescent="0.25">
      <c r="G526" s="22"/>
      <c r="H526" s="56"/>
    </row>
    <row r="527" spans="7:8" ht="13.2" x14ac:dyDescent="0.25">
      <c r="G527" s="22"/>
      <c r="H527" s="56"/>
    </row>
    <row r="528" spans="7:8" ht="13.2" x14ac:dyDescent="0.25">
      <c r="G528" s="22"/>
      <c r="H528" s="56"/>
    </row>
    <row r="529" spans="7:8" ht="13.2" x14ac:dyDescent="0.25">
      <c r="G529" s="22"/>
      <c r="H529" s="56"/>
    </row>
    <row r="530" spans="7:8" ht="13.2" x14ac:dyDescent="0.25">
      <c r="G530" s="22"/>
      <c r="H530" s="56"/>
    </row>
    <row r="531" spans="7:8" ht="13.2" x14ac:dyDescent="0.25">
      <c r="G531" s="22"/>
      <c r="H531" s="56"/>
    </row>
    <row r="532" spans="7:8" ht="13.2" x14ac:dyDescent="0.25">
      <c r="G532" s="22"/>
      <c r="H532" s="56"/>
    </row>
    <row r="533" spans="7:8" ht="13.2" x14ac:dyDescent="0.25">
      <c r="G533" s="22"/>
      <c r="H533" s="56"/>
    </row>
    <row r="534" spans="7:8" ht="13.2" x14ac:dyDescent="0.25">
      <c r="G534" s="22"/>
      <c r="H534" s="56"/>
    </row>
    <row r="535" spans="7:8" ht="13.2" x14ac:dyDescent="0.25">
      <c r="G535" s="22"/>
      <c r="H535" s="56"/>
    </row>
    <row r="536" spans="7:8" ht="13.2" x14ac:dyDescent="0.25">
      <c r="G536" s="22"/>
      <c r="H536" s="56"/>
    </row>
    <row r="537" spans="7:8" ht="13.2" x14ac:dyDescent="0.25">
      <c r="G537" s="22"/>
      <c r="H537" s="56"/>
    </row>
    <row r="538" spans="7:8" ht="13.2" x14ac:dyDescent="0.25">
      <c r="G538" s="22"/>
      <c r="H538" s="56"/>
    </row>
    <row r="539" spans="7:8" ht="13.2" x14ac:dyDescent="0.25">
      <c r="G539" s="22"/>
      <c r="H539" s="56"/>
    </row>
    <row r="540" spans="7:8" ht="13.2" x14ac:dyDescent="0.25">
      <c r="G540" s="22"/>
      <c r="H540" s="56"/>
    </row>
    <row r="541" spans="7:8" ht="13.2" x14ac:dyDescent="0.25">
      <c r="G541" s="22"/>
      <c r="H541" s="56"/>
    </row>
    <row r="542" spans="7:8" ht="13.2" x14ac:dyDescent="0.25">
      <c r="G542" s="22"/>
      <c r="H542" s="56"/>
    </row>
    <row r="543" spans="7:8" ht="13.2" x14ac:dyDescent="0.25">
      <c r="G543" s="22"/>
      <c r="H543" s="56"/>
    </row>
    <row r="544" spans="7:8" ht="13.2" x14ac:dyDescent="0.25">
      <c r="G544" s="22"/>
      <c r="H544" s="56"/>
    </row>
    <row r="545" spans="7:8" ht="13.2" x14ac:dyDescent="0.25">
      <c r="G545" s="22"/>
      <c r="H545" s="56"/>
    </row>
    <row r="546" spans="7:8" ht="13.2" x14ac:dyDescent="0.25">
      <c r="G546" s="22"/>
      <c r="H546" s="56"/>
    </row>
    <row r="547" spans="7:8" ht="13.2" x14ac:dyDescent="0.25">
      <c r="G547" s="22"/>
      <c r="H547" s="56"/>
    </row>
    <row r="548" spans="7:8" ht="13.2" x14ac:dyDescent="0.25">
      <c r="G548" s="22"/>
      <c r="H548" s="56"/>
    </row>
    <row r="549" spans="7:8" ht="13.2" x14ac:dyDescent="0.25">
      <c r="G549" s="22"/>
      <c r="H549" s="56"/>
    </row>
    <row r="550" spans="7:8" ht="13.2" x14ac:dyDescent="0.25">
      <c r="G550" s="22"/>
      <c r="H550" s="56"/>
    </row>
    <row r="551" spans="7:8" ht="13.2" x14ac:dyDescent="0.25">
      <c r="G551" s="22"/>
      <c r="H551" s="56"/>
    </row>
    <row r="552" spans="7:8" ht="13.2" x14ac:dyDescent="0.25">
      <c r="G552" s="22"/>
      <c r="H552" s="56"/>
    </row>
    <row r="553" spans="7:8" ht="13.2" x14ac:dyDescent="0.25">
      <c r="G553" s="22"/>
      <c r="H553" s="56"/>
    </row>
    <row r="554" spans="7:8" ht="13.2" x14ac:dyDescent="0.25">
      <c r="G554" s="22"/>
      <c r="H554" s="56"/>
    </row>
    <row r="555" spans="7:8" ht="13.2" x14ac:dyDescent="0.25">
      <c r="G555" s="22"/>
      <c r="H555" s="56"/>
    </row>
    <row r="556" spans="7:8" ht="13.2" x14ac:dyDescent="0.25">
      <c r="G556" s="22"/>
      <c r="H556" s="56"/>
    </row>
    <row r="557" spans="7:8" ht="13.2" x14ac:dyDescent="0.25">
      <c r="G557" s="22"/>
      <c r="H557" s="56"/>
    </row>
    <row r="558" spans="7:8" ht="13.2" x14ac:dyDescent="0.25">
      <c r="G558" s="22"/>
      <c r="H558" s="56"/>
    </row>
    <row r="559" spans="7:8" ht="13.2" x14ac:dyDescent="0.25">
      <c r="G559" s="22"/>
      <c r="H559" s="56"/>
    </row>
    <row r="560" spans="7:8" ht="13.2" x14ac:dyDescent="0.25">
      <c r="G560" s="22"/>
      <c r="H560" s="56"/>
    </row>
    <row r="561" spans="7:8" ht="13.2" x14ac:dyDescent="0.25">
      <c r="G561" s="22"/>
      <c r="H561" s="56"/>
    </row>
    <row r="562" spans="7:8" ht="13.2" x14ac:dyDescent="0.25">
      <c r="G562" s="22"/>
      <c r="H562" s="56"/>
    </row>
    <row r="563" spans="7:8" ht="13.2" x14ac:dyDescent="0.25">
      <c r="G563" s="22"/>
      <c r="H563" s="56"/>
    </row>
    <row r="564" spans="7:8" ht="13.2" x14ac:dyDescent="0.25">
      <c r="G564" s="22"/>
      <c r="H564" s="56"/>
    </row>
    <row r="565" spans="7:8" ht="13.2" x14ac:dyDescent="0.25">
      <c r="G565" s="22"/>
      <c r="H565" s="56"/>
    </row>
    <row r="566" spans="7:8" ht="13.2" x14ac:dyDescent="0.25">
      <c r="G566" s="22"/>
      <c r="H566" s="56"/>
    </row>
    <row r="567" spans="7:8" ht="13.2" x14ac:dyDescent="0.25">
      <c r="G567" s="22"/>
      <c r="H567" s="56"/>
    </row>
    <row r="568" spans="7:8" ht="13.2" x14ac:dyDescent="0.25">
      <c r="G568" s="22"/>
      <c r="H568" s="56"/>
    </row>
    <row r="569" spans="7:8" ht="13.2" x14ac:dyDescent="0.25">
      <c r="G569" s="22"/>
      <c r="H569" s="56"/>
    </row>
    <row r="570" spans="7:8" ht="13.2" x14ac:dyDescent="0.25">
      <c r="G570" s="22"/>
      <c r="H570" s="56"/>
    </row>
    <row r="571" spans="7:8" ht="13.2" x14ac:dyDescent="0.25">
      <c r="G571" s="22"/>
      <c r="H571" s="56"/>
    </row>
    <row r="572" spans="7:8" ht="13.2" x14ac:dyDescent="0.25">
      <c r="G572" s="22"/>
      <c r="H572" s="56"/>
    </row>
    <row r="573" spans="7:8" ht="13.2" x14ac:dyDescent="0.25">
      <c r="G573" s="22"/>
      <c r="H573" s="56"/>
    </row>
    <row r="574" spans="7:8" ht="13.2" x14ac:dyDescent="0.25">
      <c r="G574" s="22"/>
      <c r="H574" s="56"/>
    </row>
    <row r="575" spans="7:8" ht="13.2" x14ac:dyDescent="0.25">
      <c r="G575" s="22"/>
      <c r="H575" s="56"/>
    </row>
    <row r="576" spans="7:8" ht="13.2" x14ac:dyDescent="0.25">
      <c r="G576" s="22"/>
      <c r="H576" s="56"/>
    </row>
    <row r="577" spans="7:8" ht="13.2" x14ac:dyDescent="0.25">
      <c r="G577" s="22"/>
      <c r="H577" s="56"/>
    </row>
    <row r="578" spans="7:8" ht="13.2" x14ac:dyDescent="0.25">
      <c r="G578" s="22"/>
      <c r="H578" s="56"/>
    </row>
    <row r="579" spans="7:8" ht="13.2" x14ac:dyDescent="0.25">
      <c r="G579" s="22"/>
      <c r="H579" s="56"/>
    </row>
    <row r="580" spans="7:8" ht="13.2" x14ac:dyDescent="0.25">
      <c r="G580" s="22"/>
      <c r="H580" s="56"/>
    </row>
    <row r="581" spans="7:8" ht="13.2" x14ac:dyDescent="0.25">
      <c r="G581" s="22"/>
      <c r="H581" s="56"/>
    </row>
    <row r="582" spans="7:8" ht="13.2" x14ac:dyDescent="0.25">
      <c r="G582" s="22"/>
      <c r="H582" s="56"/>
    </row>
    <row r="583" spans="7:8" ht="13.2" x14ac:dyDescent="0.25">
      <c r="G583" s="22"/>
      <c r="H583" s="56"/>
    </row>
    <row r="584" spans="7:8" ht="13.2" x14ac:dyDescent="0.25">
      <c r="G584" s="22"/>
      <c r="H584" s="56"/>
    </row>
    <row r="585" spans="7:8" ht="13.2" x14ac:dyDescent="0.25">
      <c r="G585" s="22"/>
      <c r="H585" s="56"/>
    </row>
    <row r="586" spans="7:8" ht="13.2" x14ac:dyDescent="0.25">
      <c r="G586" s="22"/>
      <c r="H586" s="56"/>
    </row>
    <row r="587" spans="7:8" ht="13.2" x14ac:dyDescent="0.25">
      <c r="G587" s="22"/>
      <c r="H587" s="56"/>
    </row>
    <row r="588" spans="7:8" ht="13.2" x14ac:dyDescent="0.25">
      <c r="G588" s="22"/>
      <c r="H588" s="56"/>
    </row>
    <row r="589" spans="7:8" ht="13.2" x14ac:dyDescent="0.25">
      <c r="G589" s="22"/>
      <c r="H589" s="56"/>
    </row>
    <row r="590" spans="7:8" ht="13.2" x14ac:dyDescent="0.25">
      <c r="G590" s="22"/>
      <c r="H590" s="56"/>
    </row>
    <row r="591" spans="7:8" ht="13.2" x14ac:dyDescent="0.25">
      <c r="G591" s="22"/>
      <c r="H591" s="56"/>
    </row>
    <row r="592" spans="7:8" ht="13.2" x14ac:dyDescent="0.25">
      <c r="G592" s="22"/>
      <c r="H592" s="56"/>
    </row>
    <row r="593" spans="7:8" ht="13.2" x14ac:dyDescent="0.25">
      <c r="G593" s="22"/>
      <c r="H593" s="56"/>
    </row>
    <row r="594" spans="7:8" ht="13.2" x14ac:dyDescent="0.25">
      <c r="G594" s="22"/>
      <c r="H594" s="56"/>
    </row>
    <row r="595" spans="7:8" ht="13.2" x14ac:dyDescent="0.25">
      <c r="G595" s="22"/>
      <c r="H595" s="56"/>
    </row>
    <row r="596" spans="7:8" ht="13.2" x14ac:dyDescent="0.25">
      <c r="G596" s="22"/>
      <c r="H596" s="56"/>
    </row>
    <row r="597" spans="7:8" ht="13.2" x14ac:dyDescent="0.25">
      <c r="G597" s="22"/>
      <c r="H597" s="56"/>
    </row>
    <row r="598" spans="7:8" ht="13.2" x14ac:dyDescent="0.25">
      <c r="G598" s="22"/>
      <c r="H598" s="56"/>
    </row>
    <row r="599" spans="7:8" ht="13.2" x14ac:dyDescent="0.25">
      <c r="G599" s="22"/>
      <c r="H599" s="56"/>
    </row>
    <row r="600" spans="7:8" ht="13.2" x14ac:dyDescent="0.25">
      <c r="G600" s="22"/>
      <c r="H600" s="56"/>
    </row>
    <row r="601" spans="7:8" ht="13.2" x14ac:dyDescent="0.25">
      <c r="G601" s="22"/>
      <c r="H601" s="56"/>
    </row>
    <row r="602" spans="7:8" ht="13.2" x14ac:dyDescent="0.25">
      <c r="G602" s="22"/>
      <c r="H602" s="56"/>
    </row>
    <row r="603" spans="7:8" ht="13.2" x14ac:dyDescent="0.25">
      <c r="G603" s="22"/>
      <c r="H603" s="56"/>
    </row>
    <row r="604" spans="7:8" ht="13.2" x14ac:dyDescent="0.25">
      <c r="G604" s="22"/>
      <c r="H604" s="56"/>
    </row>
    <row r="605" spans="7:8" ht="13.2" x14ac:dyDescent="0.25">
      <c r="G605" s="22"/>
      <c r="H605" s="56"/>
    </row>
    <row r="606" spans="7:8" ht="13.2" x14ac:dyDescent="0.25">
      <c r="G606" s="22"/>
      <c r="H606" s="56"/>
    </row>
    <row r="607" spans="7:8" ht="13.2" x14ac:dyDescent="0.25">
      <c r="G607" s="22"/>
      <c r="H607" s="56"/>
    </row>
    <row r="608" spans="7:8" ht="13.2" x14ac:dyDescent="0.25">
      <c r="G608" s="22"/>
      <c r="H608" s="56"/>
    </row>
    <row r="609" spans="7:8" ht="13.2" x14ac:dyDescent="0.25">
      <c r="G609" s="22"/>
      <c r="H609" s="56"/>
    </row>
    <row r="610" spans="7:8" ht="13.2" x14ac:dyDescent="0.25">
      <c r="G610" s="22"/>
      <c r="H610" s="56"/>
    </row>
    <row r="611" spans="7:8" ht="13.2" x14ac:dyDescent="0.25">
      <c r="G611" s="22"/>
      <c r="H611" s="56"/>
    </row>
    <row r="612" spans="7:8" ht="13.2" x14ac:dyDescent="0.25">
      <c r="G612" s="22"/>
      <c r="H612" s="56"/>
    </row>
    <row r="613" spans="7:8" ht="13.2" x14ac:dyDescent="0.25">
      <c r="G613" s="22"/>
      <c r="H613" s="56"/>
    </row>
    <row r="614" spans="7:8" ht="13.2" x14ac:dyDescent="0.25">
      <c r="G614" s="22"/>
      <c r="H614" s="56"/>
    </row>
    <row r="615" spans="7:8" ht="13.2" x14ac:dyDescent="0.25">
      <c r="G615" s="22"/>
      <c r="H615" s="56"/>
    </row>
    <row r="616" spans="7:8" ht="13.2" x14ac:dyDescent="0.25">
      <c r="G616" s="22"/>
      <c r="H616" s="56"/>
    </row>
    <row r="617" spans="7:8" ht="13.2" x14ac:dyDescent="0.25">
      <c r="G617" s="22"/>
      <c r="H617" s="56"/>
    </row>
    <row r="618" spans="7:8" ht="13.2" x14ac:dyDescent="0.25">
      <c r="G618" s="22"/>
      <c r="H618" s="56"/>
    </row>
    <row r="619" spans="7:8" ht="13.2" x14ac:dyDescent="0.25">
      <c r="G619" s="22"/>
      <c r="H619" s="56"/>
    </row>
    <row r="620" spans="7:8" ht="13.2" x14ac:dyDescent="0.25">
      <c r="G620" s="22"/>
      <c r="H620" s="56"/>
    </row>
    <row r="621" spans="7:8" ht="13.2" x14ac:dyDescent="0.25">
      <c r="G621" s="22"/>
      <c r="H621" s="56"/>
    </row>
    <row r="622" spans="7:8" ht="13.2" x14ac:dyDescent="0.25">
      <c r="G622" s="22"/>
      <c r="H622" s="56"/>
    </row>
    <row r="623" spans="7:8" ht="13.2" x14ac:dyDescent="0.25">
      <c r="G623" s="22"/>
      <c r="H623" s="56"/>
    </row>
    <row r="624" spans="7:8" ht="13.2" x14ac:dyDescent="0.25">
      <c r="G624" s="22"/>
      <c r="H624" s="56"/>
    </row>
    <row r="625" spans="7:8" ht="13.2" x14ac:dyDescent="0.25">
      <c r="G625" s="22"/>
      <c r="H625" s="56"/>
    </row>
    <row r="626" spans="7:8" ht="13.2" x14ac:dyDescent="0.25">
      <c r="G626" s="22"/>
      <c r="H626" s="56"/>
    </row>
    <row r="627" spans="7:8" ht="13.2" x14ac:dyDescent="0.25">
      <c r="G627" s="22"/>
      <c r="H627" s="56"/>
    </row>
    <row r="628" spans="7:8" ht="13.2" x14ac:dyDescent="0.25">
      <c r="G628" s="22"/>
      <c r="H628" s="56"/>
    </row>
    <row r="629" spans="7:8" ht="13.2" x14ac:dyDescent="0.25">
      <c r="G629" s="22"/>
      <c r="H629" s="56"/>
    </row>
    <row r="630" spans="7:8" ht="13.2" x14ac:dyDescent="0.25">
      <c r="G630" s="22"/>
      <c r="H630" s="56"/>
    </row>
    <row r="631" spans="7:8" ht="13.2" x14ac:dyDescent="0.25">
      <c r="G631" s="22"/>
      <c r="H631" s="56"/>
    </row>
    <row r="632" spans="7:8" ht="13.2" x14ac:dyDescent="0.25">
      <c r="G632" s="22"/>
      <c r="H632" s="56"/>
    </row>
    <row r="633" spans="7:8" ht="13.2" x14ac:dyDescent="0.25">
      <c r="G633" s="22"/>
      <c r="H633" s="56"/>
    </row>
    <row r="634" spans="7:8" ht="13.2" x14ac:dyDescent="0.25">
      <c r="G634" s="22"/>
      <c r="H634" s="56"/>
    </row>
    <row r="635" spans="7:8" ht="13.2" x14ac:dyDescent="0.25">
      <c r="G635" s="22"/>
      <c r="H635" s="56"/>
    </row>
    <row r="636" spans="7:8" ht="13.2" x14ac:dyDescent="0.25">
      <c r="G636" s="22"/>
      <c r="H636" s="56"/>
    </row>
    <row r="637" spans="7:8" ht="13.2" x14ac:dyDescent="0.25">
      <c r="G637" s="22"/>
      <c r="H637" s="56"/>
    </row>
    <row r="638" spans="7:8" ht="13.2" x14ac:dyDescent="0.25">
      <c r="G638" s="22"/>
      <c r="H638" s="56"/>
    </row>
    <row r="639" spans="7:8" ht="13.2" x14ac:dyDescent="0.25">
      <c r="G639" s="22"/>
      <c r="H639" s="56"/>
    </row>
    <row r="640" spans="7:8" ht="13.2" x14ac:dyDescent="0.25">
      <c r="G640" s="22"/>
      <c r="H640" s="56"/>
    </row>
    <row r="641" spans="7:8" ht="13.2" x14ac:dyDescent="0.25">
      <c r="G641" s="22"/>
      <c r="H641" s="56"/>
    </row>
    <row r="642" spans="7:8" ht="13.2" x14ac:dyDescent="0.25">
      <c r="G642" s="22"/>
      <c r="H642" s="56"/>
    </row>
    <row r="643" spans="7:8" ht="13.2" x14ac:dyDescent="0.25">
      <c r="G643" s="22"/>
      <c r="H643" s="56"/>
    </row>
    <row r="644" spans="7:8" ht="13.2" x14ac:dyDescent="0.25">
      <c r="G644" s="22"/>
      <c r="H644" s="56"/>
    </row>
    <row r="645" spans="7:8" ht="13.2" x14ac:dyDescent="0.25">
      <c r="G645" s="22"/>
      <c r="H645" s="56"/>
    </row>
    <row r="646" spans="7:8" ht="13.2" x14ac:dyDescent="0.25">
      <c r="G646" s="22"/>
      <c r="H646" s="56"/>
    </row>
    <row r="647" spans="7:8" ht="13.2" x14ac:dyDescent="0.25">
      <c r="G647" s="22"/>
      <c r="H647" s="56"/>
    </row>
    <row r="648" spans="7:8" ht="13.2" x14ac:dyDescent="0.25">
      <c r="G648" s="22"/>
      <c r="H648" s="56"/>
    </row>
    <row r="649" spans="7:8" ht="13.2" x14ac:dyDescent="0.25">
      <c r="G649" s="22"/>
      <c r="H649" s="56"/>
    </row>
    <row r="650" spans="7:8" ht="13.2" x14ac:dyDescent="0.25">
      <c r="G650" s="22"/>
      <c r="H650" s="56"/>
    </row>
    <row r="651" spans="7:8" ht="13.2" x14ac:dyDescent="0.25">
      <c r="G651" s="22"/>
      <c r="H651" s="56"/>
    </row>
    <row r="652" spans="7:8" ht="13.2" x14ac:dyDescent="0.25">
      <c r="G652" s="22"/>
      <c r="H652" s="56"/>
    </row>
    <row r="653" spans="7:8" ht="13.2" x14ac:dyDescent="0.25">
      <c r="G653" s="22"/>
      <c r="H653" s="56"/>
    </row>
    <row r="654" spans="7:8" ht="13.2" x14ac:dyDescent="0.25">
      <c r="G654" s="22"/>
      <c r="H654" s="56"/>
    </row>
    <row r="655" spans="7:8" ht="13.2" x14ac:dyDescent="0.25">
      <c r="G655" s="22"/>
      <c r="H655" s="56"/>
    </row>
    <row r="656" spans="7:8" ht="13.2" x14ac:dyDescent="0.25">
      <c r="G656" s="22"/>
      <c r="H656" s="56"/>
    </row>
    <row r="657" spans="7:8" ht="13.2" x14ac:dyDescent="0.25">
      <c r="G657" s="22"/>
      <c r="H657" s="56"/>
    </row>
    <row r="658" spans="7:8" ht="13.2" x14ac:dyDescent="0.25">
      <c r="G658" s="22"/>
      <c r="H658" s="56"/>
    </row>
    <row r="659" spans="7:8" ht="13.2" x14ac:dyDescent="0.25">
      <c r="G659" s="22"/>
      <c r="H659" s="56"/>
    </row>
    <row r="660" spans="7:8" ht="13.2" x14ac:dyDescent="0.25">
      <c r="G660" s="22"/>
      <c r="H660" s="56"/>
    </row>
    <row r="661" spans="7:8" ht="13.2" x14ac:dyDescent="0.25">
      <c r="G661" s="22"/>
      <c r="H661" s="56"/>
    </row>
    <row r="662" spans="7:8" ht="13.2" x14ac:dyDescent="0.25">
      <c r="G662" s="22"/>
      <c r="H662" s="56"/>
    </row>
    <row r="663" spans="7:8" ht="13.2" x14ac:dyDescent="0.25">
      <c r="G663" s="22"/>
      <c r="H663" s="56"/>
    </row>
    <row r="664" spans="7:8" ht="13.2" x14ac:dyDescent="0.25">
      <c r="G664" s="22"/>
      <c r="H664" s="56"/>
    </row>
    <row r="665" spans="7:8" ht="13.2" x14ac:dyDescent="0.25">
      <c r="G665" s="22"/>
      <c r="H665" s="56"/>
    </row>
    <row r="666" spans="7:8" ht="13.2" x14ac:dyDescent="0.25">
      <c r="G666" s="22"/>
      <c r="H666" s="56"/>
    </row>
    <row r="667" spans="7:8" ht="13.2" x14ac:dyDescent="0.25">
      <c r="G667" s="22"/>
      <c r="H667" s="56"/>
    </row>
    <row r="668" spans="7:8" ht="13.2" x14ac:dyDescent="0.25">
      <c r="G668" s="22"/>
      <c r="H668" s="56"/>
    </row>
    <row r="669" spans="7:8" ht="13.2" x14ac:dyDescent="0.25">
      <c r="G669" s="22"/>
      <c r="H669" s="56"/>
    </row>
    <row r="670" spans="7:8" ht="13.2" x14ac:dyDescent="0.25">
      <c r="G670" s="22"/>
      <c r="H670" s="56"/>
    </row>
    <row r="671" spans="7:8" ht="13.2" x14ac:dyDescent="0.25">
      <c r="G671" s="22"/>
      <c r="H671" s="56"/>
    </row>
    <row r="672" spans="7:8" ht="13.2" x14ac:dyDescent="0.25">
      <c r="G672" s="22"/>
      <c r="H672" s="56"/>
    </row>
    <row r="673" spans="7:8" ht="13.2" x14ac:dyDescent="0.25">
      <c r="G673" s="22"/>
      <c r="H673" s="56"/>
    </row>
    <row r="674" spans="7:8" ht="13.2" x14ac:dyDescent="0.25">
      <c r="G674" s="22"/>
      <c r="H674" s="56"/>
    </row>
    <row r="675" spans="7:8" ht="13.2" x14ac:dyDescent="0.25">
      <c r="G675" s="22"/>
      <c r="H675" s="56"/>
    </row>
    <row r="676" spans="7:8" ht="13.2" x14ac:dyDescent="0.25">
      <c r="G676" s="22"/>
      <c r="H676" s="56"/>
    </row>
    <row r="677" spans="7:8" ht="13.2" x14ac:dyDescent="0.25">
      <c r="G677" s="22"/>
      <c r="H677" s="56"/>
    </row>
    <row r="678" spans="7:8" ht="13.2" x14ac:dyDescent="0.25">
      <c r="G678" s="22"/>
      <c r="H678" s="56"/>
    </row>
    <row r="679" spans="7:8" ht="13.2" x14ac:dyDescent="0.25">
      <c r="G679" s="22"/>
      <c r="H679" s="56"/>
    </row>
    <row r="680" spans="7:8" ht="13.2" x14ac:dyDescent="0.25">
      <c r="G680" s="22"/>
      <c r="H680" s="56"/>
    </row>
    <row r="681" spans="7:8" ht="13.2" x14ac:dyDescent="0.25">
      <c r="G681" s="22"/>
      <c r="H681" s="56"/>
    </row>
    <row r="682" spans="7:8" ht="13.2" x14ac:dyDescent="0.25">
      <c r="G682" s="22"/>
      <c r="H682" s="56"/>
    </row>
    <row r="683" spans="7:8" ht="13.2" x14ac:dyDescent="0.25">
      <c r="G683" s="22"/>
      <c r="H683" s="56"/>
    </row>
    <row r="684" spans="7:8" ht="13.2" x14ac:dyDescent="0.25">
      <c r="G684" s="22"/>
      <c r="H684" s="56"/>
    </row>
    <row r="685" spans="7:8" ht="13.2" x14ac:dyDescent="0.25">
      <c r="G685" s="22"/>
      <c r="H685" s="56"/>
    </row>
    <row r="686" spans="7:8" ht="13.2" x14ac:dyDescent="0.25">
      <c r="G686" s="22"/>
      <c r="H686" s="56"/>
    </row>
    <row r="687" spans="7:8" ht="13.2" x14ac:dyDescent="0.25">
      <c r="G687" s="22"/>
      <c r="H687" s="56"/>
    </row>
    <row r="688" spans="7:8" ht="13.2" x14ac:dyDescent="0.25">
      <c r="G688" s="22"/>
      <c r="H688" s="56"/>
    </row>
    <row r="689" spans="7:8" ht="13.2" x14ac:dyDescent="0.25">
      <c r="G689" s="22"/>
      <c r="H689" s="56"/>
    </row>
    <row r="690" spans="7:8" ht="13.2" x14ac:dyDescent="0.25">
      <c r="G690" s="22"/>
      <c r="H690" s="56"/>
    </row>
    <row r="691" spans="7:8" ht="13.2" x14ac:dyDescent="0.25">
      <c r="G691" s="22"/>
      <c r="H691" s="56"/>
    </row>
    <row r="692" spans="7:8" ht="13.2" x14ac:dyDescent="0.25">
      <c r="G692" s="22"/>
      <c r="H692" s="56"/>
    </row>
    <row r="693" spans="7:8" ht="13.2" x14ac:dyDescent="0.25">
      <c r="G693" s="22"/>
      <c r="H693" s="56"/>
    </row>
    <row r="694" spans="7:8" ht="13.2" x14ac:dyDescent="0.25">
      <c r="G694" s="22"/>
      <c r="H694" s="56"/>
    </row>
    <row r="695" spans="7:8" ht="13.2" x14ac:dyDescent="0.25">
      <c r="G695" s="22"/>
      <c r="H695" s="56"/>
    </row>
    <row r="696" spans="7:8" ht="13.2" x14ac:dyDescent="0.25">
      <c r="G696" s="22"/>
      <c r="H696" s="56"/>
    </row>
    <row r="697" spans="7:8" ht="13.2" x14ac:dyDescent="0.25">
      <c r="G697" s="22"/>
      <c r="H697" s="56"/>
    </row>
    <row r="698" spans="7:8" ht="13.2" x14ac:dyDescent="0.25">
      <c r="G698" s="22"/>
      <c r="H698" s="56"/>
    </row>
    <row r="699" spans="7:8" ht="13.2" x14ac:dyDescent="0.25">
      <c r="G699" s="22"/>
      <c r="H699" s="56"/>
    </row>
    <row r="700" spans="7:8" ht="13.2" x14ac:dyDescent="0.25">
      <c r="G700" s="22"/>
      <c r="H700" s="56"/>
    </row>
    <row r="701" spans="7:8" ht="13.2" x14ac:dyDescent="0.25">
      <c r="G701" s="22"/>
      <c r="H701" s="56"/>
    </row>
    <row r="702" spans="7:8" ht="13.2" x14ac:dyDescent="0.25">
      <c r="G702" s="22"/>
      <c r="H702" s="56"/>
    </row>
    <row r="703" spans="7:8" ht="13.2" x14ac:dyDescent="0.25">
      <c r="G703" s="22"/>
      <c r="H703" s="56"/>
    </row>
    <row r="704" spans="7:8" ht="13.2" x14ac:dyDescent="0.25">
      <c r="G704" s="22"/>
      <c r="H704" s="56"/>
    </row>
    <row r="705" spans="7:8" ht="13.2" x14ac:dyDescent="0.25">
      <c r="G705" s="22"/>
      <c r="H705" s="56"/>
    </row>
    <row r="706" spans="7:8" ht="13.2" x14ac:dyDescent="0.25">
      <c r="G706" s="22"/>
      <c r="H706" s="56"/>
    </row>
    <row r="707" spans="7:8" ht="13.2" x14ac:dyDescent="0.25">
      <c r="G707" s="22"/>
      <c r="H707" s="56"/>
    </row>
    <row r="708" spans="7:8" ht="13.2" x14ac:dyDescent="0.25">
      <c r="G708" s="22"/>
      <c r="H708" s="56"/>
    </row>
    <row r="709" spans="7:8" ht="13.2" x14ac:dyDescent="0.25">
      <c r="G709" s="22"/>
      <c r="H709" s="56"/>
    </row>
    <row r="710" spans="7:8" ht="13.2" x14ac:dyDescent="0.25">
      <c r="G710" s="22"/>
      <c r="H710" s="56"/>
    </row>
    <row r="711" spans="7:8" ht="13.2" x14ac:dyDescent="0.25">
      <c r="G711" s="22"/>
      <c r="H711" s="56"/>
    </row>
    <row r="712" spans="7:8" ht="13.2" x14ac:dyDescent="0.25">
      <c r="G712" s="22"/>
      <c r="H712" s="56"/>
    </row>
    <row r="713" spans="7:8" ht="13.2" x14ac:dyDescent="0.25">
      <c r="G713" s="22"/>
      <c r="H713" s="56"/>
    </row>
    <row r="714" spans="7:8" ht="13.2" x14ac:dyDescent="0.25">
      <c r="G714" s="22"/>
      <c r="H714" s="56"/>
    </row>
    <row r="715" spans="7:8" ht="13.2" x14ac:dyDescent="0.25">
      <c r="G715" s="22"/>
      <c r="H715" s="56"/>
    </row>
    <row r="716" spans="7:8" ht="13.2" x14ac:dyDescent="0.25">
      <c r="G716" s="22"/>
      <c r="H716" s="56"/>
    </row>
    <row r="717" spans="7:8" ht="13.2" x14ac:dyDescent="0.25">
      <c r="G717" s="22"/>
      <c r="H717" s="56"/>
    </row>
    <row r="718" spans="7:8" ht="13.2" x14ac:dyDescent="0.25">
      <c r="G718" s="22"/>
      <c r="H718" s="56"/>
    </row>
    <row r="719" spans="7:8" ht="13.2" x14ac:dyDescent="0.25">
      <c r="G719" s="22"/>
      <c r="H719" s="56"/>
    </row>
    <row r="720" spans="7:8" ht="13.2" x14ac:dyDescent="0.25">
      <c r="G720" s="22"/>
      <c r="H720" s="56"/>
    </row>
    <row r="721" spans="7:8" ht="13.2" x14ac:dyDescent="0.25">
      <c r="G721" s="22"/>
      <c r="H721" s="56"/>
    </row>
    <row r="722" spans="7:8" ht="13.2" x14ac:dyDescent="0.25">
      <c r="G722" s="22"/>
      <c r="H722" s="56"/>
    </row>
    <row r="723" spans="7:8" ht="13.2" x14ac:dyDescent="0.25">
      <c r="G723" s="22"/>
      <c r="H723" s="56"/>
    </row>
    <row r="724" spans="7:8" ht="13.2" x14ac:dyDescent="0.25">
      <c r="G724" s="22"/>
      <c r="H724" s="56"/>
    </row>
    <row r="725" spans="7:8" ht="13.2" x14ac:dyDescent="0.25">
      <c r="G725" s="22"/>
      <c r="H725" s="56"/>
    </row>
    <row r="726" spans="7:8" ht="13.2" x14ac:dyDescent="0.25">
      <c r="G726" s="22"/>
      <c r="H726" s="56"/>
    </row>
    <row r="727" spans="7:8" ht="13.2" x14ac:dyDescent="0.25">
      <c r="G727" s="22"/>
      <c r="H727" s="56"/>
    </row>
  </sheetData>
  <mergeCells count="15">
    <mergeCell ref="B4:E4"/>
    <mergeCell ref="B9:C9"/>
    <mergeCell ref="D9:F9"/>
    <mergeCell ref="B11:E11"/>
    <mergeCell ref="B16:C16"/>
    <mergeCell ref="D16:F16"/>
    <mergeCell ref="B32:E32"/>
    <mergeCell ref="D37:F37"/>
    <mergeCell ref="B37:C37"/>
    <mergeCell ref="B18:E18"/>
    <mergeCell ref="B23:C23"/>
    <mergeCell ref="D23:F23"/>
    <mergeCell ref="B25:E25"/>
    <mergeCell ref="B30:C30"/>
    <mergeCell ref="D30:F30"/>
  </mergeCells>
  <dataValidations count="2">
    <dataValidation type="custom" allowBlank="1" showDropDown="1" showInputMessage="1" showErrorMessage="1" prompt="Ide 2006-2010 (2011) közötti évszámok írható be!" sqref="D5:E8 D9 G9 D12:E15 D16 G16 D19:E22 D23 G23 D26:E29 D30 G30 D33:E36 D37 G37" xr:uid="{00000000-0002-0000-0C00-000000000000}">
      <formula1>OR(D5 = "2006", D5="2007",  D5="2008", D5="2009", D5="2010", D5="2011")</formula1>
    </dataValidation>
    <dataValidation type="custom" allowBlank="1" showDropDown="1" showInputMessage="1" showErrorMessage="1" prompt="Ide csak időeredmény (pl: 4:33,9) vagy DNS, DNF, DQ jelzések lehetnek!" sqref="F4:F8 F10:F15 F17:F22 F24:F29 F31:F36 F38" xr:uid="{00000000-0002-0000-0C00-000001000000}">
      <formula1>REGEXMATCH(F4,"^\d{1,2}:\d\d,\d{1,2}$|^DNS$|^DNF$|^DQ$")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1C232"/>
    <outlinePr summaryBelow="0" summaryRight="0"/>
  </sheetPr>
  <dimension ref="A1:H716"/>
  <sheetViews>
    <sheetView workbookViewId="0">
      <pane ySplit="3" topLeftCell="A37" activePane="bottomLeft" state="frozen"/>
      <selection pane="bottomLeft" activeCell="K16" sqref="K16"/>
    </sheetView>
  </sheetViews>
  <sheetFormatPr defaultColWidth="12.6640625" defaultRowHeight="15.75" customHeight="1" x14ac:dyDescent="0.25"/>
  <cols>
    <col min="1" max="1" width="4.6640625" customWidth="1"/>
    <col min="2" max="2" width="4.109375" customWidth="1"/>
    <col min="3" max="3" width="25.44140625" customWidth="1"/>
    <col min="4" max="4" width="6.109375" customWidth="1"/>
    <col min="5" max="5" width="15.88671875" customWidth="1"/>
    <col min="6" max="6" width="10.21875" customWidth="1"/>
    <col min="7" max="7" width="8.21875" customWidth="1"/>
    <col min="8" max="8" width="12.6640625" hidden="1"/>
  </cols>
  <sheetData>
    <row r="1" spans="1:8" ht="25.8" x14ac:dyDescent="0.8">
      <c r="A1" s="62" t="s">
        <v>754</v>
      </c>
      <c r="B1" s="63"/>
      <c r="C1" s="64"/>
      <c r="D1" s="65"/>
      <c r="E1" s="65"/>
      <c r="F1" s="69"/>
      <c r="G1" s="69"/>
      <c r="H1" s="56"/>
    </row>
    <row r="2" spans="1:8" ht="16.2" x14ac:dyDescent="0.5">
      <c r="A2" s="9" t="s">
        <v>1</v>
      </c>
      <c r="B2" s="9" t="s">
        <v>2</v>
      </c>
      <c r="C2" s="11"/>
      <c r="D2" s="12" t="s">
        <v>379</v>
      </c>
      <c r="E2" s="12"/>
      <c r="F2" s="14" t="s">
        <v>380</v>
      </c>
      <c r="G2" s="15" t="s">
        <v>7</v>
      </c>
      <c r="H2" s="56"/>
    </row>
    <row r="3" spans="1:8" ht="13.2" x14ac:dyDescent="0.25">
      <c r="A3" s="17"/>
      <c r="B3" s="17"/>
      <c r="D3" s="18"/>
      <c r="E3" s="18"/>
      <c r="F3" s="21"/>
      <c r="G3" s="22"/>
      <c r="H3" s="56"/>
    </row>
    <row r="4" spans="1:8" ht="15.6" x14ac:dyDescent="0.25">
      <c r="A4" s="23">
        <v>1</v>
      </c>
      <c r="B4" s="72" t="s">
        <v>417</v>
      </c>
      <c r="C4" s="73"/>
      <c r="D4" s="73"/>
      <c r="E4" s="74"/>
      <c r="F4" s="57" t="s">
        <v>755</v>
      </c>
      <c r="G4" s="26">
        <f ca="1">IF($H4=2000,,RANK(H4,$H$4:$H$59,TRUE))</f>
        <v>1</v>
      </c>
      <c r="H4" s="58">
        <f ca="1">IFERROR(__xludf.DUMMYFUNCTION("IF(REGEXMATCH(F4,""^\d{1,2}:\d\d,\d{1,2}""),VALUE(LEFT($F4,SEARCH("":"",F4)-1))*60+VALUE(MID($F4,SEARCH("":"",F4)+1,LEN($F4))),2000)"),143.8)</f>
        <v>143.80000000000001</v>
      </c>
    </row>
    <row r="5" spans="1:8" ht="18" customHeight="1" x14ac:dyDescent="0.25">
      <c r="A5" s="17"/>
      <c r="B5" s="28">
        <v>1</v>
      </c>
      <c r="C5" s="29" t="s">
        <v>499</v>
      </c>
      <c r="D5" s="44" t="s">
        <v>10</v>
      </c>
      <c r="E5" s="18"/>
      <c r="F5" s="21"/>
      <c r="G5" s="22"/>
      <c r="H5" s="56"/>
    </row>
    <row r="6" spans="1:8" ht="18" customHeight="1" x14ac:dyDescent="0.25">
      <c r="A6" s="17"/>
      <c r="B6" s="28">
        <v>2</v>
      </c>
      <c r="C6" s="29" t="s">
        <v>501</v>
      </c>
      <c r="D6" s="44" t="s">
        <v>32</v>
      </c>
      <c r="E6" s="18"/>
      <c r="F6" s="21"/>
      <c r="G6" s="22"/>
      <c r="H6" s="56"/>
    </row>
    <row r="7" spans="1:8" ht="18" customHeight="1" x14ac:dyDescent="0.25">
      <c r="A7" s="17"/>
      <c r="B7" s="28">
        <v>3</v>
      </c>
      <c r="C7" s="29" t="s">
        <v>507</v>
      </c>
      <c r="D7" s="44" t="s">
        <v>18</v>
      </c>
      <c r="E7" s="18"/>
      <c r="F7" s="21"/>
      <c r="G7" s="22"/>
      <c r="H7" s="56"/>
    </row>
    <row r="8" spans="1:8" ht="18" customHeight="1" x14ac:dyDescent="0.25">
      <c r="A8" s="17"/>
      <c r="B8" s="59">
        <v>4</v>
      </c>
      <c r="C8" s="29" t="s">
        <v>508</v>
      </c>
      <c r="D8" s="60" t="s">
        <v>18</v>
      </c>
      <c r="E8" s="18"/>
      <c r="F8" s="21"/>
      <c r="G8" s="22"/>
      <c r="H8" s="56"/>
    </row>
    <row r="9" spans="1:8" ht="18" customHeight="1" x14ac:dyDescent="0.25">
      <c r="A9" s="17"/>
      <c r="B9" s="76" t="s">
        <v>423</v>
      </c>
      <c r="C9" s="74"/>
      <c r="D9" s="75"/>
      <c r="E9" s="73"/>
      <c r="F9" s="74"/>
      <c r="G9" s="18"/>
      <c r="H9" s="56"/>
    </row>
    <row r="10" spans="1:8" ht="13.2" x14ac:dyDescent="0.25">
      <c r="F10" s="61"/>
      <c r="G10" s="22"/>
      <c r="H10" s="56"/>
    </row>
    <row r="11" spans="1:8" ht="15.6" x14ac:dyDescent="0.25">
      <c r="A11" s="23">
        <v>2</v>
      </c>
      <c r="B11" s="72" t="s">
        <v>756</v>
      </c>
      <c r="C11" s="73"/>
      <c r="D11" s="73"/>
      <c r="E11" s="74"/>
      <c r="F11" s="57" t="s">
        <v>757</v>
      </c>
      <c r="G11" s="26">
        <f ca="1">IF($H11=2000,,RANK(H11,$H$4:$H$59,TRUE))</f>
        <v>2</v>
      </c>
      <c r="H11" s="58">
        <f ca="1">IFERROR(__xludf.DUMMYFUNCTION("IF(REGEXMATCH(F11,""^\d{1,2}:\d\d,\d{1,2}""),VALUE(LEFT($F11,SEARCH("":"",F11)-1))*60+VALUE(MID($F11,SEARCH("":"",F11)+1,LEN($F11))),2000)"),158.2)</f>
        <v>158.19999999999999</v>
      </c>
    </row>
    <row r="12" spans="1:8" ht="13.2" x14ac:dyDescent="0.25">
      <c r="A12" s="17"/>
      <c r="B12" s="28">
        <v>1</v>
      </c>
      <c r="C12" s="29" t="s">
        <v>758</v>
      </c>
      <c r="D12" s="44" t="s">
        <v>10</v>
      </c>
      <c r="E12" s="18"/>
      <c r="F12" s="21"/>
      <c r="G12" s="22"/>
      <c r="H12" s="56"/>
    </row>
    <row r="13" spans="1:8" ht="13.2" x14ac:dyDescent="0.25">
      <c r="A13" s="17"/>
      <c r="B13" s="28">
        <v>2</v>
      </c>
      <c r="C13" s="29" t="s">
        <v>759</v>
      </c>
      <c r="D13" s="44" t="s">
        <v>10</v>
      </c>
      <c r="E13" s="18"/>
      <c r="F13" s="21"/>
      <c r="G13" s="22"/>
      <c r="H13" s="56"/>
    </row>
    <row r="14" spans="1:8" ht="13.2" x14ac:dyDescent="0.25">
      <c r="A14" s="17"/>
      <c r="B14" s="28">
        <v>3</v>
      </c>
      <c r="C14" s="29" t="s">
        <v>760</v>
      </c>
      <c r="D14" s="44" t="s">
        <v>18</v>
      </c>
      <c r="E14" s="18"/>
      <c r="F14" s="21"/>
      <c r="G14" s="22"/>
      <c r="H14" s="56"/>
    </row>
    <row r="15" spans="1:8" ht="13.2" x14ac:dyDescent="0.25">
      <c r="A15" s="17"/>
      <c r="B15" s="59">
        <v>4</v>
      </c>
      <c r="C15" s="29" t="s">
        <v>761</v>
      </c>
      <c r="D15" s="44" t="s">
        <v>26</v>
      </c>
      <c r="E15" s="18"/>
      <c r="F15" s="21"/>
      <c r="G15" s="22"/>
      <c r="H15" s="56"/>
    </row>
    <row r="16" spans="1:8" ht="13.2" x14ac:dyDescent="0.25">
      <c r="A16" s="17"/>
      <c r="B16" s="76" t="s">
        <v>762</v>
      </c>
      <c r="C16" s="74"/>
      <c r="D16" s="75"/>
      <c r="E16" s="73"/>
      <c r="F16" s="74"/>
      <c r="G16" s="18"/>
      <c r="H16" s="56"/>
    </row>
    <row r="17" spans="1:8" ht="13.2" x14ac:dyDescent="0.25">
      <c r="F17" s="61"/>
      <c r="G17" s="22"/>
      <c r="H17" s="56"/>
    </row>
    <row r="18" spans="1:8" ht="15.6" x14ac:dyDescent="0.25">
      <c r="A18" s="23">
        <v>3</v>
      </c>
      <c r="B18" s="72" t="s">
        <v>450</v>
      </c>
      <c r="C18" s="73"/>
      <c r="D18" s="73"/>
      <c r="E18" s="74"/>
      <c r="F18" s="57" t="s">
        <v>763</v>
      </c>
      <c r="G18" s="26">
        <f ca="1">IF($H18=2000,,RANK(H18,$H$4:$H$59,TRUE))</f>
        <v>3</v>
      </c>
      <c r="H18" s="58">
        <f ca="1">IFERROR(__xludf.DUMMYFUNCTION("IF(REGEXMATCH(F18,""^\d{1,2}:\d\d,\d{1,2}""),VALUE(LEFT($F18,SEARCH("":"",F18)-1))*60+VALUE(MID($F18,SEARCH("":"",F18)+1,LEN($F18))),2000)"),166.9)</f>
        <v>166.9</v>
      </c>
    </row>
    <row r="19" spans="1:8" ht="13.2" x14ac:dyDescent="0.25">
      <c r="A19" s="17"/>
      <c r="B19" s="28">
        <v>1</v>
      </c>
      <c r="C19" s="29" t="s">
        <v>764</v>
      </c>
      <c r="D19" s="44" t="s">
        <v>26</v>
      </c>
      <c r="E19" s="18"/>
      <c r="F19" s="21"/>
      <c r="G19" s="22"/>
      <c r="H19" s="56"/>
    </row>
    <row r="20" spans="1:8" ht="13.2" x14ac:dyDescent="0.25">
      <c r="A20" s="17"/>
      <c r="B20" s="28">
        <v>2</v>
      </c>
      <c r="C20" s="29" t="s">
        <v>765</v>
      </c>
      <c r="D20" s="44" t="s">
        <v>26</v>
      </c>
      <c r="E20" s="18"/>
      <c r="F20" s="21"/>
      <c r="G20" s="22"/>
      <c r="H20" s="56"/>
    </row>
    <row r="21" spans="1:8" ht="13.2" x14ac:dyDescent="0.25">
      <c r="A21" s="17"/>
      <c r="B21" s="28">
        <v>3</v>
      </c>
      <c r="C21" s="29" t="s">
        <v>766</v>
      </c>
      <c r="D21" s="44" t="s">
        <v>18</v>
      </c>
      <c r="E21" s="18"/>
      <c r="F21" s="21"/>
      <c r="G21" s="22"/>
      <c r="H21" s="56"/>
    </row>
    <row r="22" spans="1:8" ht="13.2" x14ac:dyDescent="0.25">
      <c r="A22" s="17"/>
      <c r="B22" s="59">
        <v>4</v>
      </c>
      <c r="C22" s="29" t="s">
        <v>767</v>
      </c>
      <c r="D22" s="44" t="s">
        <v>18</v>
      </c>
      <c r="E22" s="18"/>
      <c r="F22" s="21"/>
      <c r="G22" s="22"/>
      <c r="H22" s="56"/>
    </row>
    <row r="23" spans="1:8" ht="13.2" x14ac:dyDescent="0.25">
      <c r="A23" s="17"/>
      <c r="B23" s="76" t="s">
        <v>456</v>
      </c>
      <c r="C23" s="74"/>
      <c r="D23" s="75"/>
      <c r="E23" s="73"/>
      <c r="F23" s="74"/>
      <c r="G23" s="18"/>
      <c r="H23" s="56"/>
    </row>
    <row r="24" spans="1:8" ht="13.2" x14ac:dyDescent="0.25">
      <c r="F24" s="61"/>
      <c r="G24" s="22"/>
      <c r="H24" s="56"/>
    </row>
    <row r="25" spans="1:8" ht="15.6" x14ac:dyDescent="0.25">
      <c r="A25" s="23">
        <v>4</v>
      </c>
      <c r="B25" s="72" t="s">
        <v>571</v>
      </c>
      <c r="C25" s="73"/>
      <c r="D25" s="73"/>
      <c r="E25" s="74"/>
      <c r="F25" s="57" t="s">
        <v>768</v>
      </c>
      <c r="G25" s="26">
        <f ca="1">IF($H25=2000,,RANK(H25,$H$4:$H$59,TRUE))</f>
        <v>4</v>
      </c>
      <c r="H25" s="58">
        <f ca="1">IFERROR(__xludf.DUMMYFUNCTION("IF(REGEXMATCH(F25,""^\d{1,2}:\d\d,\d{1,2}""),VALUE(LEFT($F25,SEARCH("":"",F25)-1))*60+VALUE(MID($F25,SEARCH("":"",F25)+1,LEN($F25))),2000)"),169.8)</f>
        <v>169.8</v>
      </c>
    </row>
    <row r="26" spans="1:8" ht="13.2" x14ac:dyDescent="0.25">
      <c r="A26" s="17"/>
      <c r="B26" s="28">
        <v>1</v>
      </c>
      <c r="C26" s="29" t="s">
        <v>769</v>
      </c>
      <c r="D26" s="44" t="s">
        <v>26</v>
      </c>
      <c r="E26" s="18"/>
      <c r="F26" s="21"/>
      <c r="G26" s="22"/>
      <c r="H26" s="56"/>
    </row>
    <row r="27" spans="1:8" ht="13.2" x14ac:dyDescent="0.25">
      <c r="A27" s="17"/>
      <c r="B27" s="28">
        <v>2</v>
      </c>
      <c r="C27" s="29" t="s">
        <v>770</v>
      </c>
      <c r="D27" s="44" t="s">
        <v>26</v>
      </c>
      <c r="E27" s="18"/>
      <c r="F27" s="21"/>
      <c r="G27" s="22"/>
      <c r="H27" s="56"/>
    </row>
    <row r="28" spans="1:8" ht="13.2" x14ac:dyDescent="0.25">
      <c r="A28" s="17"/>
      <c r="B28" s="28">
        <v>3</v>
      </c>
      <c r="C28" s="29" t="s">
        <v>525</v>
      </c>
      <c r="D28" s="44" t="s">
        <v>26</v>
      </c>
      <c r="E28" s="18"/>
      <c r="F28" s="21"/>
      <c r="G28" s="22"/>
      <c r="H28" s="56"/>
    </row>
    <row r="29" spans="1:8" ht="13.2" x14ac:dyDescent="0.25">
      <c r="A29" s="17"/>
      <c r="B29" s="59">
        <v>4</v>
      </c>
      <c r="C29" s="29" t="s">
        <v>531</v>
      </c>
      <c r="D29" s="44" t="s">
        <v>26</v>
      </c>
      <c r="E29" s="18"/>
      <c r="F29" s="21"/>
      <c r="G29" s="22"/>
      <c r="H29" s="56"/>
    </row>
    <row r="30" spans="1:8" ht="13.2" x14ac:dyDescent="0.25">
      <c r="A30" s="17"/>
      <c r="B30" s="76" t="s">
        <v>442</v>
      </c>
      <c r="C30" s="74"/>
      <c r="D30" s="75"/>
      <c r="E30" s="73"/>
      <c r="F30" s="74"/>
      <c r="G30" s="18"/>
      <c r="H30" s="56"/>
    </row>
    <row r="31" spans="1:8" ht="13.2" x14ac:dyDescent="0.25">
      <c r="F31" s="61"/>
      <c r="G31" s="22"/>
      <c r="H31" s="56"/>
    </row>
    <row r="32" spans="1:8" ht="15.6" x14ac:dyDescent="0.25">
      <c r="A32" s="23">
        <v>5</v>
      </c>
      <c r="B32" s="72" t="s">
        <v>8</v>
      </c>
      <c r="C32" s="73"/>
      <c r="D32" s="73"/>
      <c r="E32" s="74"/>
      <c r="F32" s="57" t="s">
        <v>771</v>
      </c>
      <c r="G32" s="26">
        <f ca="1">IF($H32=2000,,RANK(H32,$H$4:$H$59,TRUE))</f>
        <v>5</v>
      </c>
      <c r="H32" s="58">
        <f ca="1">IFERROR(__xludf.DUMMYFUNCTION("IF(REGEXMATCH(F32,""^\d{1,2}:\d\d,\d{1,2}""),VALUE(LEFT($F32,SEARCH("":"",F32)-1))*60+VALUE(MID($F32,SEARCH("":"",F32)+1,LEN($F32))),2000)"),171.7)</f>
        <v>171.7</v>
      </c>
    </row>
    <row r="33" spans="1:8" ht="13.2" x14ac:dyDescent="0.25">
      <c r="A33" s="17"/>
      <c r="B33" s="28">
        <v>1</v>
      </c>
      <c r="C33" s="29" t="s">
        <v>495</v>
      </c>
      <c r="D33" s="44" t="s">
        <v>18</v>
      </c>
      <c r="E33" s="18"/>
      <c r="F33" s="21"/>
      <c r="G33" s="22"/>
      <c r="H33" s="56"/>
    </row>
    <row r="34" spans="1:8" ht="13.2" x14ac:dyDescent="0.25">
      <c r="A34" s="17"/>
      <c r="B34" s="28">
        <v>2</v>
      </c>
      <c r="C34" s="29" t="s">
        <v>542</v>
      </c>
      <c r="D34" s="44" t="s">
        <v>26</v>
      </c>
      <c r="E34" s="18"/>
      <c r="F34" s="21"/>
      <c r="G34" s="22"/>
      <c r="H34" s="56"/>
    </row>
    <row r="35" spans="1:8" ht="13.2" x14ac:dyDescent="0.25">
      <c r="A35" s="17"/>
      <c r="B35" s="28">
        <v>3</v>
      </c>
      <c r="C35" s="29" t="s">
        <v>493</v>
      </c>
      <c r="D35" s="44" t="s">
        <v>15</v>
      </c>
      <c r="E35" s="18"/>
      <c r="F35" s="21"/>
      <c r="G35" s="22"/>
      <c r="H35" s="56"/>
    </row>
    <row r="36" spans="1:8" ht="13.2" x14ac:dyDescent="0.25">
      <c r="A36" s="17"/>
      <c r="B36" s="59">
        <v>4</v>
      </c>
      <c r="C36" s="29" t="s">
        <v>492</v>
      </c>
      <c r="D36" s="44" t="s">
        <v>15</v>
      </c>
      <c r="E36" s="18"/>
      <c r="F36" s="21"/>
      <c r="G36" s="22"/>
      <c r="H36" s="56"/>
    </row>
    <row r="37" spans="1:8" ht="13.2" x14ac:dyDescent="0.25">
      <c r="A37" s="17"/>
      <c r="B37" s="76" t="s">
        <v>386</v>
      </c>
      <c r="C37" s="74"/>
      <c r="D37" s="75"/>
      <c r="E37" s="73"/>
      <c r="F37" s="74"/>
      <c r="G37" s="18"/>
      <c r="H37" s="56"/>
    </row>
    <row r="38" spans="1:8" ht="13.2" x14ac:dyDescent="0.25">
      <c r="F38" s="61"/>
      <c r="G38" s="22"/>
      <c r="H38" s="56"/>
    </row>
    <row r="39" spans="1:8" ht="15.6" x14ac:dyDescent="0.25">
      <c r="A39" s="23">
        <v>6</v>
      </c>
      <c r="B39" s="72" t="s">
        <v>772</v>
      </c>
      <c r="C39" s="73"/>
      <c r="D39" s="73"/>
      <c r="E39" s="74"/>
      <c r="F39" s="57" t="s">
        <v>773</v>
      </c>
      <c r="G39" s="26">
        <f ca="1">IF($H39=2000,,RANK(H39,$H$4:$H$59,TRUE))</f>
        <v>6</v>
      </c>
      <c r="H39" s="58">
        <f ca="1">IFERROR(__xludf.DUMMYFUNCTION("IF(REGEXMATCH(F39,""^\d{1,2}:\d\d,\d{1,2}""),VALUE(LEFT($F39,SEARCH("":"",F39)-1))*60+VALUE(MID($F39,SEARCH("":"",F39)+1,LEN($F39))),2000)"),175.8)</f>
        <v>175.8</v>
      </c>
    </row>
    <row r="40" spans="1:8" ht="13.2" x14ac:dyDescent="0.25">
      <c r="A40" s="17"/>
      <c r="B40" s="28">
        <v>1</v>
      </c>
      <c r="C40" s="29" t="s">
        <v>774</v>
      </c>
      <c r="D40" s="44" t="s">
        <v>18</v>
      </c>
      <c r="E40" s="18"/>
      <c r="F40" s="21"/>
      <c r="G40" s="22"/>
      <c r="H40" s="56"/>
    </row>
    <row r="41" spans="1:8" ht="13.2" x14ac:dyDescent="0.25">
      <c r="A41" s="17"/>
      <c r="B41" s="28">
        <v>2</v>
      </c>
      <c r="C41" s="29" t="s">
        <v>775</v>
      </c>
      <c r="D41" s="44" t="s">
        <v>15</v>
      </c>
      <c r="E41" s="18"/>
      <c r="F41" s="21"/>
      <c r="G41" s="22"/>
      <c r="H41" s="56"/>
    </row>
    <row r="42" spans="1:8" ht="13.2" x14ac:dyDescent="0.25">
      <c r="A42" s="17"/>
      <c r="B42" s="28">
        <v>3</v>
      </c>
      <c r="C42" s="29" t="s">
        <v>776</v>
      </c>
      <c r="D42" s="44" t="s">
        <v>15</v>
      </c>
      <c r="E42" s="18"/>
      <c r="F42" s="21"/>
      <c r="G42" s="22"/>
      <c r="H42" s="56"/>
    </row>
    <row r="43" spans="1:8" ht="13.2" x14ac:dyDescent="0.25">
      <c r="A43" s="17"/>
      <c r="B43" s="59">
        <v>4</v>
      </c>
      <c r="C43" s="29" t="s">
        <v>777</v>
      </c>
      <c r="D43" s="44" t="s">
        <v>10</v>
      </c>
      <c r="E43" s="18"/>
      <c r="F43" s="21"/>
      <c r="G43" s="22"/>
      <c r="H43" s="56"/>
    </row>
    <row r="44" spans="1:8" ht="13.2" x14ac:dyDescent="0.25">
      <c r="A44" s="17"/>
      <c r="B44" s="76" t="s">
        <v>435</v>
      </c>
      <c r="C44" s="74"/>
      <c r="D44" s="75"/>
      <c r="E44" s="73"/>
      <c r="F44" s="74"/>
      <c r="G44" s="18"/>
      <c r="H44" s="56"/>
    </row>
    <row r="45" spans="1:8" ht="13.2" x14ac:dyDescent="0.25">
      <c r="F45" s="61"/>
      <c r="G45" s="22"/>
      <c r="H45" s="56"/>
    </row>
    <row r="46" spans="1:8" ht="15.6" x14ac:dyDescent="0.25">
      <c r="A46" s="23">
        <v>7</v>
      </c>
      <c r="B46" s="72" t="s">
        <v>35</v>
      </c>
      <c r="C46" s="73"/>
      <c r="D46" s="73"/>
      <c r="E46" s="74"/>
      <c r="F46" s="57" t="s">
        <v>778</v>
      </c>
      <c r="G46" s="26">
        <f ca="1">IF($H46=2000,,RANK(H46,$H$4:$H$59,TRUE))</f>
        <v>7</v>
      </c>
      <c r="H46" s="58">
        <f ca="1">IFERROR(__xludf.DUMMYFUNCTION("IF(REGEXMATCH(F46,""^\d{1,2}:\d\d,\d{1,2}""),VALUE(LEFT($F46,SEARCH("":"",F46)-1))*60+VALUE(MID($F46,SEARCH("":"",F46)+1,LEN($F46))),2000)"),180.5)</f>
        <v>180.5</v>
      </c>
    </row>
    <row r="47" spans="1:8" ht="13.2" x14ac:dyDescent="0.25">
      <c r="A47" s="17"/>
      <c r="B47" s="28">
        <v>1</v>
      </c>
      <c r="C47" s="29" t="s">
        <v>779</v>
      </c>
      <c r="D47" s="44" t="s">
        <v>18</v>
      </c>
      <c r="E47" s="18"/>
      <c r="F47" s="21"/>
      <c r="G47" s="22"/>
      <c r="H47" s="56"/>
    </row>
    <row r="48" spans="1:8" ht="13.2" x14ac:dyDescent="0.25">
      <c r="A48" s="17"/>
      <c r="B48" s="28">
        <v>2</v>
      </c>
      <c r="C48" s="29" t="s">
        <v>516</v>
      </c>
      <c r="D48" s="44" t="s">
        <v>10</v>
      </c>
      <c r="E48" s="18"/>
      <c r="F48" s="21"/>
      <c r="G48" s="22"/>
      <c r="H48" s="56"/>
    </row>
    <row r="49" spans="1:8" ht="13.2" x14ac:dyDescent="0.25">
      <c r="A49" s="17"/>
      <c r="B49" s="28">
        <v>3</v>
      </c>
      <c r="C49" s="29" t="s">
        <v>488</v>
      </c>
      <c r="D49" s="44" t="s">
        <v>26</v>
      </c>
      <c r="E49" s="18"/>
      <c r="F49" s="21"/>
      <c r="G49" s="22"/>
      <c r="H49" s="56"/>
    </row>
    <row r="50" spans="1:8" ht="13.2" x14ac:dyDescent="0.25">
      <c r="A50" s="17"/>
      <c r="B50" s="59">
        <v>4</v>
      </c>
      <c r="C50" s="29" t="s">
        <v>780</v>
      </c>
      <c r="D50" s="44" t="s">
        <v>15</v>
      </c>
      <c r="E50" s="18"/>
      <c r="F50" s="21"/>
      <c r="G50" s="22"/>
      <c r="H50" s="56"/>
    </row>
    <row r="51" spans="1:8" ht="13.2" x14ac:dyDescent="0.25">
      <c r="A51" s="17"/>
      <c r="B51" s="76" t="s">
        <v>734</v>
      </c>
      <c r="C51" s="74"/>
      <c r="D51" s="75"/>
      <c r="E51" s="73"/>
      <c r="F51" s="74"/>
      <c r="G51" s="18"/>
      <c r="H51" s="56"/>
    </row>
    <row r="52" spans="1:8" ht="13.2" x14ac:dyDescent="0.25">
      <c r="F52" s="61"/>
      <c r="G52" s="22"/>
      <c r="H52" s="56"/>
    </row>
    <row r="53" spans="1:8" ht="15.6" x14ac:dyDescent="0.25">
      <c r="A53" s="23">
        <v>8</v>
      </c>
      <c r="B53" s="72" t="s">
        <v>368</v>
      </c>
      <c r="C53" s="73"/>
      <c r="D53" s="73"/>
      <c r="E53" s="74"/>
      <c r="F53" s="57" t="s">
        <v>781</v>
      </c>
      <c r="G53" s="26">
        <f ca="1">IF($H53=2000,,RANK(H53,$H$4:$H$59,TRUE))</f>
        <v>8</v>
      </c>
      <c r="H53" s="58">
        <f ca="1">IFERROR(__xludf.DUMMYFUNCTION("IF(REGEXMATCH(F53,""^\d{1,2}:\d\d,\d{1,2}""),VALUE(LEFT($F53,SEARCH("":"",F53)-1))*60+VALUE(MID($F53,SEARCH("":"",F53)+1,LEN($F53))),2000)"),206.3)</f>
        <v>206.3</v>
      </c>
    </row>
    <row r="54" spans="1:8" ht="13.2" x14ac:dyDescent="0.25">
      <c r="A54" s="17"/>
      <c r="B54" s="28">
        <v>1</v>
      </c>
      <c r="C54" s="29" t="s">
        <v>782</v>
      </c>
      <c r="D54" s="44" t="s">
        <v>15</v>
      </c>
      <c r="E54" s="18"/>
      <c r="F54" s="21"/>
      <c r="G54" s="22"/>
      <c r="H54" s="56"/>
    </row>
    <row r="55" spans="1:8" ht="13.2" x14ac:dyDescent="0.25">
      <c r="A55" s="17"/>
      <c r="B55" s="28">
        <v>2</v>
      </c>
      <c r="C55" s="29" t="s">
        <v>783</v>
      </c>
      <c r="D55" s="44" t="s">
        <v>26</v>
      </c>
      <c r="E55" s="18"/>
      <c r="F55" s="21"/>
      <c r="G55" s="22"/>
      <c r="H55" s="56"/>
    </row>
    <row r="56" spans="1:8" ht="13.2" x14ac:dyDescent="0.25">
      <c r="A56" s="17"/>
      <c r="B56" s="28">
        <v>3</v>
      </c>
      <c r="C56" s="29" t="s">
        <v>725</v>
      </c>
      <c r="D56" s="44" t="s">
        <v>15</v>
      </c>
      <c r="E56" s="18"/>
      <c r="F56" s="21"/>
      <c r="G56" s="22"/>
      <c r="H56" s="56"/>
    </row>
    <row r="57" spans="1:8" ht="13.2" x14ac:dyDescent="0.25">
      <c r="A57" s="17"/>
      <c r="B57" s="59">
        <v>4</v>
      </c>
      <c r="C57" s="29" t="s">
        <v>727</v>
      </c>
      <c r="D57" s="44" t="s">
        <v>18</v>
      </c>
      <c r="E57" s="18"/>
      <c r="F57" s="21"/>
      <c r="G57" s="22"/>
      <c r="H57" s="56"/>
    </row>
    <row r="58" spans="1:8" ht="13.2" x14ac:dyDescent="0.25">
      <c r="A58" s="17"/>
      <c r="B58" s="76" t="s">
        <v>409</v>
      </c>
      <c r="C58" s="74"/>
      <c r="D58" s="75"/>
      <c r="E58" s="73"/>
      <c r="F58" s="74"/>
      <c r="G58" s="18"/>
      <c r="H58" s="56"/>
    </row>
    <row r="59" spans="1:8" ht="13.2" x14ac:dyDescent="0.25">
      <c r="F59" s="61"/>
      <c r="G59" s="22"/>
      <c r="H59" s="56"/>
    </row>
    <row r="60" spans="1:8" ht="13.2" x14ac:dyDescent="0.25">
      <c r="G60" s="22"/>
      <c r="H60" s="56"/>
    </row>
    <row r="61" spans="1:8" ht="13.2" x14ac:dyDescent="0.25">
      <c r="G61" s="22"/>
      <c r="H61" s="56"/>
    </row>
    <row r="62" spans="1:8" ht="13.2" x14ac:dyDescent="0.25">
      <c r="G62" s="22"/>
      <c r="H62" s="56"/>
    </row>
    <row r="63" spans="1:8" ht="13.2" x14ac:dyDescent="0.25">
      <c r="G63" s="22"/>
      <c r="H63" s="56"/>
    </row>
    <row r="64" spans="1:8" ht="13.2" x14ac:dyDescent="0.25">
      <c r="G64" s="22"/>
      <c r="H64" s="56"/>
    </row>
    <row r="65" spans="7:8" ht="13.2" x14ac:dyDescent="0.25">
      <c r="G65" s="22"/>
      <c r="H65" s="56"/>
    </row>
    <row r="66" spans="7:8" ht="13.2" x14ac:dyDescent="0.25">
      <c r="G66" s="22"/>
      <c r="H66" s="56"/>
    </row>
    <row r="67" spans="7:8" ht="13.2" x14ac:dyDescent="0.25">
      <c r="G67" s="22"/>
      <c r="H67" s="56"/>
    </row>
    <row r="68" spans="7:8" ht="13.2" x14ac:dyDescent="0.25">
      <c r="G68" s="22"/>
      <c r="H68" s="56"/>
    </row>
    <row r="69" spans="7:8" ht="13.2" x14ac:dyDescent="0.25">
      <c r="G69" s="22"/>
      <c r="H69" s="56"/>
    </row>
    <row r="70" spans="7:8" ht="13.2" x14ac:dyDescent="0.25">
      <c r="G70" s="22"/>
      <c r="H70" s="56"/>
    </row>
    <row r="71" spans="7:8" ht="13.2" x14ac:dyDescent="0.25">
      <c r="G71" s="22"/>
      <c r="H71" s="56"/>
    </row>
    <row r="72" spans="7:8" ht="13.2" x14ac:dyDescent="0.25">
      <c r="G72" s="22"/>
      <c r="H72" s="56"/>
    </row>
    <row r="73" spans="7:8" ht="13.2" x14ac:dyDescent="0.25">
      <c r="G73" s="22"/>
      <c r="H73" s="56"/>
    </row>
    <row r="74" spans="7:8" ht="13.2" x14ac:dyDescent="0.25">
      <c r="G74" s="22"/>
      <c r="H74" s="56"/>
    </row>
    <row r="75" spans="7:8" ht="13.2" x14ac:dyDescent="0.25">
      <c r="G75" s="22"/>
      <c r="H75" s="56"/>
    </row>
    <row r="76" spans="7:8" ht="13.2" x14ac:dyDescent="0.25">
      <c r="G76" s="22"/>
      <c r="H76" s="56"/>
    </row>
    <row r="77" spans="7:8" ht="13.2" x14ac:dyDescent="0.25">
      <c r="G77" s="22"/>
      <c r="H77" s="56"/>
    </row>
    <row r="78" spans="7:8" ht="13.2" x14ac:dyDescent="0.25">
      <c r="G78" s="22"/>
      <c r="H78" s="56"/>
    </row>
    <row r="79" spans="7:8" ht="13.2" x14ac:dyDescent="0.25">
      <c r="G79" s="22"/>
      <c r="H79" s="56"/>
    </row>
    <row r="80" spans="7:8" ht="13.2" x14ac:dyDescent="0.25">
      <c r="G80" s="22"/>
      <c r="H80" s="56"/>
    </row>
    <row r="81" spans="7:8" ht="13.2" x14ac:dyDescent="0.25">
      <c r="G81" s="22"/>
      <c r="H81" s="56"/>
    </row>
    <row r="82" spans="7:8" ht="13.2" x14ac:dyDescent="0.25">
      <c r="G82" s="22"/>
      <c r="H82" s="56"/>
    </row>
    <row r="83" spans="7:8" ht="13.2" x14ac:dyDescent="0.25">
      <c r="G83" s="22"/>
      <c r="H83" s="56"/>
    </row>
    <row r="84" spans="7:8" ht="13.2" x14ac:dyDescent="0.25">
      <c r="G84" s="22"/>
      <c r="H84" s="56"/>
    </row>
    <row r="85" spans="7:8" ht="13.2" x14ac:dyDescent="0.25">
      <c r="G85" s="22"/>
      <c r="H85" s="56"/>
    </row>
    <row r="86" spans="7:8" ht="13.2" x14ac:dyDescent="0.25">
      <c r="G86" s="22"/>
      <c r="H86" s="56"/>
    </row>
    <row r="87" spans="7:8" ht="13.2" x14ac:dyDescent="0.25">
      <c r="G87" s="22"/>
      <c r="H87" s="56"/>
    </row>
    <row r="88" spans="7:8" ht="13.2" x14ac:dyDescent="0.25">
      <c r="G88" s="22"/>
      <c r="H88" s="56"/>
    </row>
    <row r="89" spans="7:8" ht="13.2" x14ac:dyDescent="0.25">
      <c r="G89" s="22"/>
      <c r="H89" s="56"/>
    </row>
    <row r="90" spans="7:8" ht="13.2" x14ac:dyDescent="0.25">
      <c r="G90" s="22"/>
      <c r="H90" s="56"/>
    </row>
    <row r="91" spans="7:8" ht="13.2" x14ac:dyDescent="0.25">
      <c r="G91" s="22"/>
      <c r="H91" s="56"/>
    </row>
    <row r="92" spans="7:8" ht="13.2" x14ac:dyDescent="0.25">
      <c r="G92" s="22"/>
      <c r="H92" s="56"/>
    </row>
    <row r="93" spans="7:8" ht="13.2" x14ac:dyDescent="0.25">
      <c r="G93" s="22"/>
      <c r="H93" s="56"/>
    </row>
    <row r="94" spans="7:8" ht="13.2" x14ac:dyDescent="0.25">
      <c r="G94" s="22"/>
      <c r="H94" s="56"/>
    </row>
    <row r="95" spans="7:8" ht="13.2" x14ac:dyDescent="0.25">
      <c r="G95" s="22"/>
      <c r="H95" s="56"/>
    </row>
    <row r="96" spans="7:8" ht="13.2" x14ac:dyDescent="0.25">
      <c r="G96" s="22"/>
      <c r="H96" s="56"/>
    </row>
    <row r="97" spans="7:8" ht="13.2" x14ac:dyDescent="0.25">
      <c r="G97" s="22"/>
      <c r="H97" s="56"/>
    </row>
    <row r="98" spans="7:8" ht="13.2" x14ac:dyDescent="0.25">
      <c r="G98" s="22"/>
      <c r="H98" s="56"/>
    </row>
    <row r="99" spans="7:8" ht="13.2" x14ac:dyDescent="0.25">
      <c r="G99" s="22"/>
      <c r="H99" s="56"/>
    </row>
    <row r="100" spans="7:8" ht="13.2" x14ac:dyDescent="0.25">
      <c r="G100" s="22"/>
      <c r="H100" s="56"/>
    </row>
    <row r="101" spans="7:8" ht="13.2" x14ac:dyDescent="0.25">
      <c r="G101" s="22"/>
      <c r="H101" s="56"/>
    </row>
    <row r="102" spans="7:8" ht="13.2" x14ac:dyDescent="0.25">
      <c r="G102" s="22"/>
      <c r="H102" s="56"/>
    </row>
    <row r="103" spans="7:8" ht="13.2" x14ac:dyDescent="0.25">
      <c r="G103" s="22"/>
      <c r="H103" s="56"/>
    </row>
    <row r="104" spans="7:8" ht="13.2" x14ac:dyDescent="0.25">
      <c r="G104" s="22"/>
      <c r="H104" s="56"/>
    </row>
    <row r="105" spans="7:8" ht="13.2" x14ac:dyDescent="0.25">
      <c r="G105" s="22"/>
      <c r="H105" s="56"/>
    </row>
    <row r="106" spans="7:8" ht="13.2" x14ac:dyDescent="0.25">
      <c r="G106" s="22"/>
      <c r="H106" s="56"/>
    </row>
    <row r="107" spans="7:8" ht="13.2" x14ac:dyDescent="0.25">
      <c r="G107" s="22"/>
      <c r="H107" s="56"/>
    </row>
    <row r="108" spans="7:8" ht="13.2" x14ac:dyDescent="0.25">
      <c r="G108" s="22"/>
      <c r="H108" s="56"/>
    </row>
    <row r="109" spans="7:8" ht="13.2" x14ac:dyDescent="0.25">
      <c r="G109" s="22"/>
      <c r="H109" s="56"/>
    </row>
    <row r="110" spans="7:8" ht="13.2" x14ac:dyDescent="0.25">
      <c r="G110" s="22"/>
      <c r="H110" s="56"/>
    </row>
    <row r="111" spans="7:8" ht="13.2" x14ac:dyDescent="0.25">
      <c r="G111" s="22"/>
      <c r="H111" s="56"/>
    </row>
    <row r="112" spans="7:8" ht="13.2" x14ac:dyDescent="0.25">
      <c r="G112" s="22"/>
      <c r="H112" s="56"/>
    </row>
    <row r="113" spans="7:8" ht="13.2" x14ac:dyDescent="0.25">
      <c r="G113" s="22"/>
      <c r="H113" s="56"/>
    </row>
    <row r="114" spans="7:8" ht="13.2" x14ac:dyDescent="0.25">
      <c r="G114" s="22"/>
      <c r="H114" s="56"/>
    </row>
    <row r="115" spans="7:8" ht="13.2" x14ac:dyDescent="0.25">
      <c r="G115" s="22"/>
      <c r="H115" s="56"/>
    </row>
    <row r="116" spans="7:8" ht="13.2" x14ac:dyDescent="0.25">
      <c r="G116" s="22"/>
      <c r="H116" s="56"/>
    </row>
    <row r="117" spans="7:8" ht="13.2" x14ac:dyDescent="0.25">
      <c r="G117" s="22"/>
      <c r="H117" s="56"/>
    </row>
    <row r="118" spans="7:8" ht="13.2" x14ac:dyDescent="0.25">
      <c r="G118" s="22"/>
      <c r="H118" s="56"/>
    </row>
    <row r="119" spans="7:8" ht="13.2" x14ac:dyDescent="0.25">
      <c r="G119" s="22"/>
      <c r="H119" s="56"/>
    </row>
    <row r="120" spans="7:8" ht="13.2" x14ac:dyDescent="0.25">
      <c r="G120" s="22"/>
      <c r="H120" s="56"/>
    </row>
    <row r="121" spans="7:8" ht="13.2" x14ac:dyDescent="0.25">
      <c r="G121" s="22"/>
      <c r="H121" s="56"/>
    </row>
    <row r="122" spans="7:8" ht="13.2" x14ac:dyDescent="0.25">
      <c r="G122" s="22"/>
      <c r="H122" s="56"/>
    </row>
    <row r="123" spans="7:8" ht="13.2" x14ac:dyDescent="0.25">
      <c r="G123" s="22"/>
      <c r="H123" s="56"/>
    </row>
    <row r="124" spans="7:8" ht="13.2" x14ac:dyDescent="0.25">
      <c r="G124" s="22"/>
      <c r="H124" s="56"/>
    </row>
    <row r="125" spans="7:8" ht="13.2" x14ac:dyDescent="0.25">
      <c r="G125" s="22"/>
      <c r="H125" s="56"/>
    </row>
    <row r="126" spans="7:8" ht="13.2" x14ac:dyDescent="0.25">
      <c r="G126" s="22"/>
      <c r="H126" s="56"/>
    </row>
    <row r="127" spans="7:8" ht="13.2" x14ac:dyDescent="0.25">
      <c r="G127" s="22"/>
      <c r="H127" s="56"/>
    </row>
    <row r="128" spans="7:8" ht="13.2" x14ac:dyDescent="0.25">
      <c r="G128" s="22"/>
      <c r="H128" s="56"/>
    </row>
    <row r="129" spans="7:8" ht="13.2" x14ac:dyDescent="0.25">
      <c r="G129" s="22"/>
      <c r="H129" s="56"/>
    </row>
    <row r="130" spans="7:8" ht="13.2" x14ac:dyDescent="0.25">
      <c r="G130" s="22"/>
      <c r="H130" s="56"/>
    </row>
    <row r="131" spans="7:8" ht="13.2" x14ac:dyDescent="0.25">
      <c r="G131" s="22"/>
      <c r="H131" s="56"/>
    </row>
    <row r="132" spans="7:8" ht="13.2" x14ac:dyDescent="0.25">
      <c r="G132" s="22"/>
      <c r="H132" s="56"/>
    </row>
    <row r="133" spans="7:8" ht="13.2" x14ac:dyDescent="0.25">
      <c r="G133" s="22"/>
      <c r="H133" s="56"/>
    </row>
    <row r="134" spans="7:8" ht="13.2" x14ac:dyDescent="0.25">
      <c r="G134" s="22"/>
      <c r="H134" s="56"/>
    </row>
    <row r="135" spans="7:8" ht="13.2" x14ac:dyDescent="0.25">
      <c r="G135" s="22"/>
      <c r="H135" s="56"/>
    </row>
    <row r="136" spans="7:8" ht="13.2" x14ac:dyDescent="0.25">
      <c r="G136" s="22"/>
      <c r="H136" s="56"/>
    </row>
    <row r="137" spans="7:8" ht="13.2" x14ac:dyDescent="0.25">
      <c r="G137" s="22"/>
      <c r="H137" s="56"/>
    </row>
    <row r="138" spans="7:8" ht="13.2" x14ac:dyDescent="0.25">
      <c r="G138" s="22"/>
      <c r="H138" s="56"/>
    </row>
    <row r="139" spans="7:8" ht="13.2" x14ac:dyDescent="0.25">
      <c r="G139" s="22"/>
      <c r="H139" s="56"/>
    </row>
    <row r="140" spans="7:8" ht="13.2" x14ac:dyDescent="0.25">
      <c r="G140" s="22"/>
      <c r="H140" s="56"/>
    </row>
    <row r="141" spans="7:8" ht="13.2" x14ac:dyDescent="0.25">
      <c r="G141" s="22"/>
      <c r="H141" s="56"/>
    </row>
    <row r="142" spans="7:8" ht="13.2" x14ac:dyDescent="0.25">
      <c r="G142" s="22"/>
      <c r="H142" s="56"/>
    </row>
    <row r="143" spans="7:8" ht="13.2" x14ac:dyDescent="0.25">
      <c r="G143" s="22"/>
      <c r="H143" s="56"/>
    </row>
    <row r="144" spans="7:8" ht="13.2" x14ac:dyDescent="0.25">
      <c r="G144" s="22"/>
      <c r="H144" s="56"/>
    </row>
    <row r="145" spans="7:8" ht="13.2" x14ac:dyDescent="0.25">
      <c r="G145" s="22"/>
      <c r="H145" s="56"/>
    </row>
    <row r="146" spans="7:8" ht="13.2" x14ac:dyDescent="0.25">
      <c r="G146" s="22"/>
      <c r="H146" s="56"/>
    </row>
    <row r="147" spans="7:8" ht="13.2" x14ac:dyDescent="0.25">
      <c r="G147" s="22"/>
      <c r="H147" s="56"/>
    </row>
    <row r="148" spans="7:8" ht="13.2" x14ac:dyDescent="0.25">
      <c r="G148" s="22"/>
      <c r="H148" s="56"/>
    </row>
    <row r="149" spans="7:8" ht="13.2" x14ac:dyDescent="0.25">
      <c r="G149" s="22"/>
      <c r="H149" s="56"/>
    </row>
    <row r="150" spans="7:8" ht="13.2" x14ac:dyDescent="0.25">
      <c r="G150" s="22"/>
      <c r="H150" s="56"/>
    </row>
    <row r="151" spans="7:8" ht="13.2" x14ac:dyDescent="0.25">
      <c r="G151" s="22"/>
      <c r="H151" s="56"/>
    </row>
    <row r="152" spans="7:8" ht="13.2" x14ac:dyDescent="0.25">
      <c r="G152" s="22"/>
      <c r="H152" s="56"/>
    </row>
    <row r="153" spans="7:8" ht="13.2" x14ac:dyDescent="0.25">
      <c r="G153" s="22"/>
      <c r="H153" s="56"/>
    </row>
    <row r="154" spans="7:8" ht="13.2" x14ac:dyDescent="0.25">
      <c r="G154" s="22"/>
      <c r="H154" s="56"/>
    </row>
    <row r="155" spans="7:8" ht="13.2" x14ac:dyDescent="0.25">
      <c r="G155" s="22"/>
      <c r="H155" s="56"/>
    </row>
    <row r="156" spans="7:8" ht="13.2" x14ac:dyDescent="0.25">
      <c r="G156" s="22"/>
      <c r="H156" s="56"/>
    </row>
    <row r="157" spans="7:8" ht="13.2" x14ac:dyDescent="0.25">
      <c r="G157" s="22"/>
      <c r="H157" s="56"/>
    </row>
    <row r="158" spans="7:8" ht="13.2" x14ac:dyDescent="0.25">
      <c r="G158" s="22"/>
      <c r="H158" s="56"/>
    </row>
    <row r="159" spans="7:8" ht="13.2" x14ac:dyDescent="0.25">
      <c r="G159" s="22"/>
      <c r="H159" s="56"/>
    </row>
    <row r="160" spans="7:8" ht="13.2" x14ac:dyDescent="0.25">
      <c r="G160" s="22"/>
      <c r="H160" s="56"/>
    </row>
    <row r="161" spans="7:8" ht="13.2" x14ac:dyDescent="0.25">
      <c r="G161" s="22"/>
      <c r="H161" s="56"/>
    </row>
    <row r="162" spans="7:8" ht="13.2" x14ac:dyDescent="0.25">
      <c r="G162" s="22"/>
      <c r="H162" s="56"/>
    </row>
    <row r="163" spans="7:8" ht="13.2" x14ac:dyDescent="0.25">
      <c r="G163" s="22"/>
      <c r="H163" s="56"/>
    </row>
    <row r="164" spans="7:8" ht="13.2" x14ac:dyDescent="0.25">
      <c r="G164" s="22"/>
      <c r="H164" s="56"/>
    </row>
    <row r="165" spans="7:8" ht="13.2" x14ac:dyDescent="0.25">
      <c r="G165" s="22"/>
      <c r="H165" s="56"/>
    </row>
    <row r="166" spans="7:8" ht="13.2" x14ac:dyDescent="0.25">
      <c r="G166" s="22"/>
      <c r="H166" s="56"/>
    </row>
    <row r="167" spans="7:8" ht="13.2" x14ac:dyDescent="0.25">
      <c r="G167" s="22"/>
      <c r="H167" s="56"/>
    </row>
    <row r="168" spans="7:8" ht="13.2" x14ac:dyDescent="0.25">
      <c r="G168" s="22"/>
      <c r="H168" s="56"/>
    </row>
    <row r="169" spans="7:8" ht="13.2" x14ac:dyDescent="0.25">
      <c r="G169" s="22"/>
      <c r="H169" s="56"/>
    </row>
    <row r="170" spans="7:8" ht="13.2" x14ac:dyDescent="0.25">
      <c r="G170" s="22"/>
      <c r="H170" s="56"/>
    </row>
    <row r="171" spans="7:8" ht="13.2" x14ac:dyDescent="0.25">
      <c r="G171" s="22"/>
      <c r="H171" s="56"/>
    </row>
    <row r="172" spans="7:8" ht="13.2" x14ac:dyDescent="0.25">
      <c r="G172" s="22"/>
      <c r="H172" s="56"/>
    </row>
    <row r="173" spans="7:8" ht="13.2" x14ac:dyDescent="0.25">
      <c r="G173" s="22"/>
      <c r="H173" s="56"/>
    </row>
    <row r="174" spans="7:8" ht="13.2" x14ac:dyDescent="0.25">
      <c r="G174" s="22"/>
      <c r="H174" s="56"/>
    </row>
    <row r="175" spans="7:8" ht="13.2" x14ac:dyDescent="0.25">
      <c r="G175" s="22"/>
      <c r="H175" s="56"/>
    </row>
    <row r="176" spans="7:8" ht="13.2" x14ac:dyDescent="0.25">
      <c r="G176" s="22"/>
      <c r="H176" s="56"/>
    </row>
    <row r="177" spans="7:8" ht="13.2" x14ac:dyDescent="0.25">
      <c r="G177" s="22"/>
      <c r="H177" s="56"/>
    </row>
    <row r="178" spans="7:8" ht="13.2" x14ac:dyDescent="0.25">
      <c r="G178" s="22"/>
      <c r="H178" s="56"/>
    </row>
    <row r="179" spans="7:8" ht="13.2" x14ac:dyDescent="0.25">
      <c r="G179" s="22"/>
      <c r="H179" s="56"/>
    </row>
    <row r="180" spans="7:8" ht="13.2" x14ac:dyDescent="0.25">
      <c r="G180" s="22"/>
      <c r="H180" s="56"/>
    </row>
    <row r="181" spans="7:8" ht="13.2" x14ac:dyDescent="0.25">
      <c r="G181" s="22"/>
      <c r="H181" s="56"/>
    </row>
    <row r="182" spans="7:8" ht="13.2" x14ac:dyDescent="0.25">
      <c r="G182" s="22"/>
      <c r="H182" s="56"/>
    </row>
    <row r="183" spans="7:8" ht="13.2" x14ac:dyDescent="0.25">
      <c r="G183" s="22"/>
      <c r="H183" s="56"/>
    </row>
    <row r="184" spans="7:8" ht="13.2" x14ac:dyDescent="0.25">
      <c r="G184" s="22"/>
      <c r="H184" s="56"/>
    </row>
    <row r="185" spans="7:8" ht="13.2" x14ac:dyDescent="0.25">
      <c r="G185" s="22"/>
      <c r="H185" s="56"/>
    </row>
    <row r="186" spans="7:8" ht="13.2" x14ac:dyDescent="0.25">
      <c r="G186" s="22"/>
      <c r="H186" s="56"/>
    </row>
    <row r="187" spans="7:8" ht="13.2" x14ac:dyDescent="0.25">
      <c r="G187" s="22"/>
      <c r="H187" s="56"/>
    </row>
    <row r="188" spans="7:8" ht="13.2" x14ac:dyDescent="0.25">
      <c r="G188" s="22"/>
      <c r="H188" s="56"/>
    </row>
    <row r="189" spans="7:8" ht="13.2" x14ac:dyDescent="0.25">
      <c r="G189" s="22"/>
      <c r="H189" s="56"/>
    </row>
    <row r="190" spans="7:8" ht="13.2" x14ac:dyDescent="0.25">
      <c r="G190" s="22"/>
      <c r="H190" s="56"/>
    </row>
    <row r="191" spans="7:8" ht="13.2" x14ac:dyDescent="0.25">
      <c r="G191" s="22"/>
      <c r="H191" s="56"/>
    </row>
    <row r="192" spans="7:8" ht="13.2" x14ac:dyDescent="0.25">
      <c r="G192" s="22"/>
      <c r="H192" s="56"/>
    </row>
    <row r="193" spans="7:8" ht="13.2" x14ac:dyDescent="0.25">
      <c r="G193" s="22"/>
      <c r="H193" s="56"/>
    </row>
    <row r="194" spans="7:8" ht="13.2" x14ac:dyDescent="0.25">
      <c r="G194" s="22"/>
      <c r="H194" s="56"/>
    </row>
    <row r="195" spans="7:8" ht="13.2" x14ac:dyDescent="0.25">
      <c r="G195" s="22"/>
      <c r="H195" s="56"/>
    </row>
    <row r="196" spans="7:8" ht="13.2" x14ac:dyDescent="0.25">
      <c r="G196" s="22"/>
      <c r="H196" s="56"/>
    </row>
    <row r="197" spans="7:8" ht="13.2" x14ac:dyDescent="0.25">
      <c r="G197" s="22"/>
      <c r="H197" s="56"/>
    </row>
    <row r="198" spans="7:8" ht="13.2" x14ac:dyDescent="0.25">
      <c r="G198" s="22"/>
      <c r="H198" s="56"/>
    </row>
    <row r="199" spans="7:8" ht="13.2" x14ac:dyDescent="0.25">
      <c r="G199" s="22"/>
      <c r="H199" s="56"/>
    </row>
    <row r="200" spans="7:8" ht="13.2" x14ac:dyDescent="0.25">
      <c r="G200" s="22"/>
      <c r="H200" s="56"/>
    </row>
    <row r="201" spans="7:8" ht="13.2" x14ac:dyDescent="0.25">
      <c r="G201" s="22"/>
      <c r="H201" s="56"/>
    </row>
    <row r="202" spans="7:8" ht="13.2" x14ac:dyDescent="0.25">
      <c r="G202" s="22"/>
      <c r="H202" s="56"/>
    </row>
    <row r="203" spans="7:8" ht="13.2" x14ac:dyDescent="0.25">
      <c r="G203" s="22"/>
      <c r="H203" s="56"/>
    </row>
    <row r="204" spans="7:8" ht="13.2" x14ac:dyDescent="0.25">
      <c r="G204" s="22"/>
      <c r="H204" s="56"/>
    </row>
    <row r="205" spans="7:8" ht="13.2" x14ac:dyDescent="0.25">
      <c r="G205" s="22"/>
      <c r="H205" s="56"/>
    </row>
    <row r="206" spans="7:8" ht="13.2" x14ac:dyDescent="0.25">
      <c r="G206" s="22"/>
      <c r="H206" s="56"/>
    </row>
    <row r="207" spans="7:8" ht="13.2" x14ac:dyDescent="0.25">
      <c r="G207" s="22"/>
      <c r="H207" s="56"/>
    </row>
    <row r="208" spans="7:8" ht="13.2" x14ac:dyDescent="0.25">
      <c r="G208" s="22"/>
      <c r="H208" s="56"/>
    </row>
    <row r="209" spans="7:8" ht="13.2" x14ac:dyDescent="0.25">
      <c r="G209" s="22"/>
      <c r="H209" s="56"/>
    </row>
    <row r="210" spans="7:8" ht="13.2" x14ac:dyDescent="0.25">
      <c r="G210" s="22"/>
      <c r="H210" s="56"/>
    </row>
    <row r="211" spans="7:8" ht="13.2" x14ac:dyDescent="0.25">
      <c r="G211" s="22"/>
      <c r="H211" s="56"/>
    </row>
    <row r="212" spans="7:8" ht="13.2" x14ac:dyDescent="0.25">
      <c r="G212" s="22"/>
      <c r="H212" s="56"/>
    </row>
    <row r="213" spans="7:8" ht="13.2" x14ac:dyDescent="0.25">
      <c r="G213" s="22"/>
      <c r="H213" s="56"/>
    </row>
    <row r="214" spans="7:8" ht="13.2" x14ac:dyDescent="0.25">
      <c r="G214" s="22"/>
      <c r="H214" s="56"/>
    </row>
    <row r="215" spans="7:8" ht="13.2" x14ac:dyDescent="0.25">
      <c r="G215" s="22"/>
      <c r="H215" s="56"/>
    </row>
    <row r="216" spans="7:8" ht="13.2" x14ac:dyDescent="0.25">
      <c r="G216" s="22"/>
      <c r="H216" s="56"/>
    </row>
    <row r="217" spans="7:8" ht="13.2" x14ac:dyDescent="0.25">
      <c r="G217" s="22"/>
      <c r="H217" s="56"/>
    </row>
    <row r="218" spans="7:8" ht="13.2" x14ac:dyDescent="0.25">
      <c r="G218" s="22"/>
      <c r="H218" s="56"/>
    </row>
    <row r="219" spans="7:8" ht="13.2" x14ac:dyDescent="0.25">
      <c r="G219" s="22"/>
      <c r="H219" s="56"/>
    </row>
    <row r="220" spans="7:8" ht="13.2" x14ac:dyDescent="0.25">
      <c r="G220" s="22"/>
      <c r="H220" s="56"/>
    </row>
    <row r="221" spans="7:8" ht="13.2" x14ac:dyDescent="0.25">
      <c r="G221" s="22"/>
      <c r="H221" s="56"/>
    </row>
    <row r="222" spans="7:8" ht="13.2" x14ac:dyDescent="0.25">
      <c r="G222" s="22"/>
      <c r="H222" s="56"/>
    </row>
    <row r="223" spans="7:8" ht="13.2" x14ac:dyDescent="0.25">
      <c r="G223" s="22"/>
      <c r="H223" s="56"/>
    </row>
    <row r="224" spans="7:8" ht="13.2" x14ac:dyDescent="0.25">
      <c r="G224" s="22"/>
      <c r="H224" s="56"/>
    </row>
    <row r="225" spans="7:8" ht="13.2" x14ac:dyDescent="0.25">
      <c r="G225" s="22"/>
      <c r="H225" s="56"/>
    </row>
    <row r="226" spans="7:8" ht="13.2" x14ac:dyDescent="0.25">
      <c r="G226" s="22"/>
      <c r="H226" s="56"/>
    </row>
    <row r="227" spans="7:8" ht="13.2" x14ac:dyDescent="0.25">
      <c r="G227" s="22"/>
      <c r="H227" s="56"/>
    </row>
    <row r="228" spans="7:8" ht="13.2" x14ac:dyDescent="0.25">
      <c r="G228" s="22"/>
      <c r="H228" s="56"/>
    </row>
    <row r="229" spans="7:8" ht="13.2" x14ac:dyDescent="0.25">
      <c r="G229" s="22"/>
      <c r="H229" s="56"/>
    </row>
    <row r="230" spans="7:8" ht="13.2" x14ac:dyDescent="0.25">
      <c r="G230" s="22"/>
      <c r="H230" s="56"/>
    </row>
    <row r="231" spans="7:8" ht="13.2" x14ac:dyDescent="0.25">
      <c r="G231" s="22"/>
      <c r="H231" s="56"/>
    </row>
    <row r="232" spans="7:8" ht="13.2" x14ac:dyDescent="0.25">
      <c r="G232" s="22"/>
      <c r="H232" s="56"/>
    </row>
    <row r="233" spans="7:8" ht="13.2" x14ac:dyDescent="0.25">
      <c r="G233" s="22"/>
      <c r="H233" s="56"/>
    </row>
    <row r="234" spans="7:8" ht="13.2" x14ac:dyDescent="0.25">
      <c r="G234" s="22"/>
      <c r="H234" s="56"/>
    </row>
    <row r="235" spans="7:8" ht="13.2" x14ac:dyDescent="0.25">
      <c r="G235" s="22"/>
      <c r="H235" s="56"/>
    </row>
    <row r="236" spans="7:8" ht="13.2" x14ac:dyDescent="0.25">
      <c r="G236" s="22"/>
      <c r="H236" s="56"/>
    </row>
    <row r="237" spans="7:8" ht="13.2" x14ac:dyDescent="0.25">
      <c r="G237" s="22"/>
      <c r="H237" s="56"/>
    </row>
    <row r="238" spans="7:8" ht="13.2" x14ac:dyDescent="0.25">
      <c r="G238" s="22"/>
      <c r="H238" s="56"/>
    </row>
    <row r="239" spans="7:8" ht="13.2" x14ac:dyDescent="0.25">
      <c r="G239" s="22"/>
      <c r="H239" s="56"/>
    </row>
    <row r="240" spans="7:8" ht="13.2" x14ac:dyDescent="0.25">
      <c r="G240" s="22"/>
      <c r="H240" s="56"/>
    </row>
    <row r="241" spans="7:8" ht="13.2" x14ac:dyDescent="0.25">
      <c r="G241" s="22"/>
      <c r="H241" s="56"/>
    </row>
    <row r="242" spans="7:8" ht="13.2" x14ac:dyDescent="0.25">
      <c r="G242" s="22"/>
      <c r="H242" s="56"/>
    </row>
    <row r="243" spans="7:8" ht="13.2" x14ac:dyDescent="0.25">
      <c r="G243" s="22"/>
      <c r="H243" s="56"/>
    </row>
    <row r="244" spans="7:8" ht="13.2" x14ac:dyDescent="0.25">
      <c r="G244" s="22"/>
      <c r="H244" s="56"/>
    </row>
    <row r="245" spans="7:8" ht="13.2" x14ac:dyDescent="0.25">
      <c r="G245" s="22"/>
      <c r="H245" s="56"/>
    </row>
    <row r="246" spans="7:8" ht="13.2" x14ac:dyDescent="0.25">
      <c r="G246" s="22"/>
      <c r="H246" s="56"/>
    </row>
    <row r="247" spans="7:8" ht="13.2" x14ac:dyDescent="0.25">
      <c r="G247" s="22"/>
      <c r="H247" s="56"/>
    </row>
    <row r="248" spans="7:8" ht="13.2" x14ac:dyDescent="0.25">
      <c r="G248" s="22"/>
      <c r="H248" s="56"/>
    </row>
    <row r="249" spans="7:8" ht="13.2" x14ac:dyDescent="0.25">
      <c r="G249" s="22"/>
      <c r="H249" s="56"/>
    </row>
    <row r="250" spans="7:8" ht="13.2" x14ac:dyDescent="0.25">
      <c r="G250" s="22"/>
      <c r="H250" s="56"/>
    </row>
    <row r="251" spans="7:8" ht="13.2" x14ac:dyDescent="0.25">
      <c r="G251" s="22"/>
      <c r="H251" s="56"/>
    </row>
    <row r="252" spans="7:8" ht="13.2" x14ac:dyDescent="0.25">
      <c r="G252" s="22"/>
      <c r="H252" s="56"/>
    </row>
    <row r="253" spans="7:8" ht="13.2" x14ac:dyDescent="0.25">
      <c r="G253" s="22"/>
      <c r="H253" s="56"/>
    </row>
    <row r="254" spans="7:8" ht="13.2" x14ac:dyDescent="0.25">
      <c r="G254" s="22"/>
      <c r="H254" s="56"/>
    </row>
    <row r="255" spans="7:8" ht="13.2" x14ac:dyDescent="0.25">
      <c r="G255" s="22"/>
      <c r="H255" s="56"/>
    </row>
    <row r="256" spans="7:8" ht="13.2" x14ac:dyDescent="0.25">
      <c r="G256" s="22"/>
      <c r="H256" s="56"/>
    </row>
    <row r="257" spans="7:8" ht="13.2" x14ac:dyDescent="0.25">
      <c r="G257" s="22"/>
      <c r="H257" s="56"/>
    </row>
    <row r="258" spans="7:8" ht="13.2" x14ac:dyDescent="0.25">
      <c r="G258" s="22"/>
      <c r="H258" s="56"/>
    </row>
    <row r="259" spans="7:8" ht="13.2" x14ac:dyDescent="0.25">
      <c r="G259" s="22"/>
      <c r="H259" s="56"/>
    </row>
    <row r="260" spans="7:8" ht="13.2" x14ac:dyDescent="0.25">
      <c r="G260" s="22"/>
      <c r="H260" s="56"/>
    </row>
    <row r="261" spans="7:8" ht="13.2" x14ac:dyDescent="0.25">
      <c r="G261" s="22"/>
      <c r="H261" s="56"/>
    </row>
    <row r="262" spans="7:8" ht="13.2" x14ac:dyDescent="0.25">
      <c r="G262" s="22"/>
      <c r="H262" s="56"/>
    </row>
    <row r="263" spans="7:8" ht="13.2" x14ac:dyDescent="0.25">
      <c r="G263" s="22"/>
      <c r="H263" s="56"/>
    </row>
    <row r="264" spans="7:8" ht="13.2" x14ac:dyDescent="0.25">
      <c r="G264" s="22"/>
      <c r="H264" s="56"/>
    </row>
    <row r="265" spans="7:8" ht="13.2" x14ac:dyDescent="0.25">
      <c r="G265" s="22"/>
      <c r="H265" s="56"/>
    </row>
    <row r="266" spans="7:8" ht="13.2" x14ac:dyDescent="0.25">
      <c r="G266" s="22"/>
      <c r="H266" s="56"/>
    </row>
    <row r="267" spans="7:8" ht="13.2" x14ac:dyDescent="0.25">
      <c r="G267" s="22"/>
      <c r="H267" s="56"/>
    </row>
    <row r="268" spans="7:8" ht="13.2" x14ac:dyDescent="0.25">
      <c r="G268" s="22"/>
      <c r="H268" s="56"/>
    </row>
    <row r="269" spans="7:8" ht="13.2" x14ac:dyDescent="0.25">
      <c r="G269" s="22"/>
      <c r="H269" s="56"/>
    </row>
    <row r="270" spans="7:8" ht="13.2" x14ac:dyDescent="0.25">
      <c r="G270" s="22"/>
      <c r="H270" s="56"/>
    </row>
    <row r="271" spans="7:8" ht="13.2" x14ac:dyDescent="0.25">
      <c r="G271" s="22"/>
      <c r="H271" s="56"/>
    </row>
    <row r="272" spans="7:8" ht="13.2" x14ac:dyDescent="0.25">
      <c r="G272" s="22"/>
      <c r="H272" s="56"/>
    </row>
    <row r="273" spans="7:8" ht="13.2" x14ac:dyDescent="0.25">
      <c r="G273" s="22"/>
      <c r="H273" s="56"/>
    </row>
    <row r="274" spans="7:8" ht="13.2" x14ac:dyDescent="0.25">
      <c r="G274" s="22"/>
      <c r="H274" s="56"/>
    </row>
    <row r="275" spans="7:8" ht="13.2" x14ac:dyDescent="0.25">
      <c r="G275" s="22"/>
      <c r="H275" s="56"/>
    </row>
    <row r="276" spans="7:8" ht="13.2" x14ac:dyDescent="0.25">
      <c r="G276" s="22"/>
      <c r="H276" s="56"/>
    </row>
    <row r="277" spans="7:8" ht="13.2" x14ac:dyDescent="0.25">
      <c r="G277" s="22"/>
      <c r="H277" s="56"/>
    </row>
    <row r="278" spans="7:8" ht="13.2" x14ac:dyDescent="0.25">
      <c r="G278" s="22"/>
      <c r="H278" s="56"/>
    </row>
    <row r="279" spans="7:8" ht="13.2" x14ac:dyDescent="0.25">
      <c r="G279" s="22"/>
      <c r="H279" s="56"/>
    </row>
    <row r="280" spans="7:8" ht="13.2" x14ac:dyDescent="0.25">
      <c r="G280" s="22"/>
      <c r="H280" s="56"/>
    </row>
    <row r="281" spans="7:8" ht="13.2" x14ac:dyDescent="0.25">
      <c r="G281" s="22"/>
      <c r="H281" s="56"/>
    </row>
    <row r="282" spans="7:8" ht="13.2" x14ac:dyDescent="0.25">
      <c r="G282" s="22"/>
      <c r="H282" s="56"/>
    </row>
    <row r="283" spans="7:8" ht="13.2" x14ac:dyDescent="0.25">
      <c r="G283" s="22"/>
      <c r="H283" s="56"/>
    </row>
    <row r="284" spans="7:8" ht="13.2" x14ac:dyDescent="0.25">
      <c r="G284" s="22"/>
      <c r="H284" s="56"/>
    </row>
    <row r="285" spans="7:8" ht="13.2" x14ac:dyDescent="0.25">
      <c r="G285" s="22"/>
      <c r="H285" s="56"/>
    </row>
    <row r="286" spans="7:8" ht="13.2" x14ac:dyDescent="0.25">
      <c r="G286" s="22"/>
      <c r="H286" s="56"/>
    </row>
    <row r="287" spans="7:8" ht="13.2" x14ac:dyDescent="0.25">
      <c r="G287" s="22"/>
      <c r="H287" s="56"/>
    </row>
    <row r="288" spans="7:8" ht="13.2" x14ac:dyDescent="0.25">
      <c r="G288" s="22"/>
      <c r="H288" s="56"/>
    </row>
    <row r="289" spans="7:8" ht="13.2" x14ac:dyDescent="0.25">
      <c r="G289" s="22"/>
      <c r="H289" s="56"/>
    </row>
    <row r="290" spans="7:8" ht="13.2" x14ac:dyDescent="0.25">
      <c r="G290" s="22"/>
      <c r="H290" s="56"/>
    </row>
    <row r="291" spans="7:8" ht="13.2" x14ac:dyDescent="0.25">
      <c r="G291" s="22"/>
      <c r="H291" s="56"/>
    </row>
    <row r="292" spans="7:8" ht="13.2" x14ac:dyDescent="0.25">
      <c r="G292" s="22"/>
      <c r="H292" s="56"/>
    </row>
    <row r="293" spans="7:8" ht="13.2" x14ac:dyDescent="0.25">
      <c r="G293" s="22"/>
      <c r="H293" s="56"/>
    </row>
    <row r="294" spans="7:8" ht="13.2" x14ac:dyDescent="0.25">
      <c r="G294" s="22"/>
      <c r="H294" s="56"/>
    </row>
    <row r="295" spans="7:8" ht="13.2" x14ac:dyDescent="0.25">
      <c r="G295" s="22"/>
      <c r="H295" s="56"/>
    </row>
    <row r="296" spans="7:8" ht="13.2" x14ac:dyDescent="0.25">
      <c r="G296" s="22"/>
      <c r="H296" s="56"/>
    </row>
    <row r="297" spans="7:8" ht="13.2" x14ac:dyDescent="0.25">
      <c r="G297" s="22"/>
      <c r="H297" s="56"/>
    </row>
    <row r="298" spans="7:8" ht="13.2" x14ac:dyDescent="0.25">
      <c r="G298" s="22"/>
      <c r="H298" s="56"/>
    </row>
    <row r="299" spans="7:8" ht="13.2" x14ac:dyDescent="0.25">
      <c r="G299" s="22"/>
      <c r="H299" s="56"/>
    </row>
    <row r="300" spans="7:8" ht="13.2" x14ac:dyDescent="0.25">
      <c r="G300" s="22"/>
      <c r="H300" s="56"/>
    </row>
    <row r="301" spans="7:8" ht="13.2" x14ac:dyDescent="0.25">
      <c r="G301" s="22"/>
      <c r="H301" s="56"/>
    </row>
    <row r="302" spans="7:8" ht="13.2" x14ac:dyDescent="0.25">
      <c r="G302" s="22"/>
      <c r="H302" s="56"/>
    </row>
    <row r="303" spans="7:8" ht="13.2" x14ac:dyDescent="0.25">
      <c r="G303" s="22"/>
      <c r="H303" s="56"/>
    </row>
    <row r="304" spans="7:8" ht="13.2" x14ac:dyDescent="0.25">
      <c r="G304" s="22"/>
      <c r="H304" s="56"/>
    </row>
    <row r="305" spans="7:8" ht="13.2" x14ac:dyDescent="0.25">
      <c r="G305" s="22"/>
      <c r="H305" s="56"/>
    </row>
    <row r="306" spans="7:8" ht="13.2" x14ac:dyDescent="0.25">
      <c r="G306" s="22"/>
      <c r="H306" s="56"/>
    </row>
    <row r="307" spans="7:8" ht="13.2" x14ac:dyDescent="0.25">
      <c r="G307" s="22"/>
      <c r="H307" s="56"/>
    </row>
    <row r="308" spans="7:8" ht="13.2" x14ac:dyDescent="0.25">
      <c r="G308" s="22"/>
      <c r="H308" s="56"/>
    </row>
    <row r="309" spans="7:8" ht="13.2" x14ac:dyDescent="0.25">
      <c r="G309" s="22"/>
      <c r="H309" s="56"/>
    </row>
    <row r="310" spans="7:8" ht="13.2" x14ac:dyDescent="0.25">
      <c r="G310" s="22"/>
      <c r="H310" s="56"/>
    </row>
    <row r="311" spans="7:8" ht="13.2" x14ac:dyDescent="0.25">
      <c r="G311" s="22"/>
      <c r="H311" s="56"/>
    </row>
    <row r="312" spans="7:8" ht="13.2" x14ac:dyDescent="0.25">
      <c r="G312" s="22"/>
      <c r="H312" s="56"/>
    </row>
    <row r="313" spans="7:8" ht="13.2" x14ac:dyDescent="0.25">
      <c r="G313" s="22"/>
      <c r="H313" s="56"/>
    </row>
    <row r="314" spans="7:8" ht="13.2" x14ac:dyDescent="0.25">
      <c r="G314" s="22"/>
      <c r="H314" s="56"/>
    </row>
    <row r="315" spans="7:8" ht="13.2" x14ac:dyDescent="0.25">
      <c r="G315" s="22"/>
      <c r="H315" s="56"/>
    </row>
    <row r="316" spans="7:8" ht="13.2" x14ac:dyDescent="0.25">
      <c r="G316" s="22"/>
      <c r="H316" s="56"/>
    </row>
    <row r="317" spans="7:8" ht="13.2" x14ac:dyDescent="0.25">
      <c r="G317" s="22"/>
      <c r="H317" s="56"/>
    </row>
    <row r="318" spans="7:8" ht="13.2" x14ac:dyDescent="0.25">
      <c r="G318" s="22"/>
      <c r="H318" s="56"/>
    </row>
    <row r="319" spans="7:8" ht="13.2" x14ac:dyDescent="0.25">
      <c r="G319" s="22"/>
      <c r="H319" s="56"/>
    </row>
    <row r="320" spans="7:8" ht="13.2" x14ac:dyDescent="0.25">
      <c r="G320" s="22"/>
      <c r="H320" s="56"/>
    </row>
    <row r="321" spans="7:8" ht="13.2" x14ac:dyDescent="0.25">
      <c r="G321" s="22"/>
      <c r="H321" s="56"/>
    </row>
    <row r="322" spans="7:8" ht="13.2" x14ac:dyDescent="0.25">
      <c r="G322" s="22"/>
      <c r="H322" s="56"/>
    </row>
    <row r="323" spans="7:8" ht="13.2" x14ac:dyDescent="0.25">
      <c r="G323" s="22"/>
      <c r="H323" s="56"/>
    </row>
    <row r="324" spans="7:8" ht="13.2" x14ac:dyDescent="0.25">
      <c r="G324" s="22"/>
      <c r="H324" s="56"/>
    </row>
    <row r="325" spans="7:8" ht="13.2" x14ac:dyDescent="0.25">
      <c r="G325" s="22"/>
      <c r="H325" s="56"/>
    </row>
    <row r="326" spans="7:8" ht="13.2" x14ac:dyDescent="0.25">
      <c r="G326" s="22"/>
      <c r="H326" s="56"/>
    </row>
    <row r="327" spans="7:8" ht="13.2" x14ac:dyDescent="0.25">
      <c r="G327" s="22"/>
      <c r="H327" s="56"/>
    </row>
    <row r="328" spans="7:8" ht="13.2" x14ac:dyDescent="0.25">
      <c r="G328" s="22"/>
      <c r="H328" s="56"/>
    </row>
    <row r="329" spans="7:8" ht="13.2" x14ac:dyDescent="0.25">
      <c r="G329" s="22"/>
      <c r="H329" s="56"/>
    </row>
    <row r="330" spans="7:8" ht="13.2" x14ac:dyDescent="0.25">
      <c r="G330" s="22"/>
      <c r="H330" s="56"/>
    </row>
    <row r="331" spans="7:8" ht="13.2" x14ac:dyDescent="0.25">
      <c r="G331" s="22"/>
      <c r="H331" s="56"/>
    </row>
    <row r="332" spans="7:8" ht="13.2" x14ac:dyDescent="0.25">
      <c r="G332" s="22"/>
      <c r="H332" s="56"/>
    </row>
    <row r="333" spans="7:8" ht="13.2" x14ac:dyDescent="0.25">
      <c r="G333" s="22"/>
      <c r="H333" s="56"/>
    </row>
    <row r="334" spans="7:8" ht="13.2" x14ac:dyDescent="0.25">
      <c r="G334" s="22"/>
      <c r="H334" s="56"/>
    </row>
    <row r="335" spans="7:8" ht="13.2" x14ac:dyDescent="0.25">
      <c r="G335" s="22"/>
      <c r="H335" s="56"/>
    </row>
    <row r="336" spans="7:8" ht="13.2" x14ac:dyDescent="0.25">
      <c r="G336" s="22"/>
      <c r="H336" s="56"/>
    </row>
    <row r="337" spans="7:8" ht="13.2" x14ac:dyDescent="0.25">
      <c r="G337" s="22"/>
      <c r="H337" s="56"/>
    </row>
    <row r="338" spans="7:8" ht="13.2" x14ac:dyDescent="0.25">
      <c r="G338" s="22"/>
      <c r="H338" s="56"/>
    </row>
    <row r="339" spans="7:8" ht="13.2" x14ac:dyDescent="0.25">
      <c r="G339" s="22"/>
      <c r="H339" s="56"/>
    </row>
    <row r="340" spans="7:8" ht="13.2" x14ac:dyDescent="0.25">
      <c r="G340" s="22"/>
      <c r="H340" s="56"/>
    </row>
    <row r="341" spans="7:8" ht="13.2" x14ac:dyDescent="0.25">
      <c r="G341" s="22"/>
      <c r="H341" s="56"/>
    </row>
    <row r="342" spans="7:8" ht="13.2" x14ac:dyDescent="0.25">
      <c r="G342" s="22"/>
      <c r="H342" s="56"/>
    </row>
    <row r="343" spans="7:8" ht="13.2" x14ac:dyDescent="0.25">
      <c r="G343" s="22"/>
      <c r="H343" s="56"/>
    </row>
    <row r="344" spans="7:8" ht="13.2" x14ac:dyDescent="0.25">
      <c r="G344" s="22"/>
      <c r="H344" s="56"/>
    </row>
    <row r="345" spans="7:8" ht="13.2" x14ac:dyDescent="0.25">
      <c r="G345" s="22"/>
      <c r="H345" s="56"/>
    </row>
    <row r="346" spans="7:8" ht="13.2" x14ac:dyDescent="0.25">
      <c r="G346" s="22"/>
      <c r="H346" s="56"/>
    </row>
    <row r="347" spans="7:8" ht="13.2" x14ac:dyDescent="0.25">
      <c r="G347" s="22"/>
      <c r="H347" s="56"/>
    </row>
    <row r="348" spans="7:8" ht="13.2" x14ac:dyDescent="0.25">
      <c r="G348" s="22"/>
      <c r="H348" s="56"/>
    </row>
    <row r="349" spans="7:8" ht="13.2" x14ac:dyDescent="0.25">
      <c r="G349" s="22"/>
      <c r="H349" s="56"/>
    </row>
    <row r="350" spans="7:8" ht="13.2" x14ac:dyDescent="0.25">
      <c r="G350" s="22"/>
      <c r="H350" s="56"/>
    </row>
    <row r="351" spans="7:8" ht="13.2" x14ac:dyDescent="0.25">
      <c r="G351" s="22"/>
      <c r="H351" s="56"/>
    </row>
    <row r="352" spans="7:8" ht="13.2" x14ac:dyDescent="0.25">
      <c r="G352" s="22"/>
      <c r="H352" s="56"/>
    </row>
    <row r="353" spans="7:8" ht="13.2" x14ac:dyDescent="0.25">
      <c r="G353" s="22"/>
      <c r="H353" s="56"/>
    </row>
    <row r="354" spans="7:8" ht="13.2" x14ac:dyDescent="0.25">
      <c r="G354" s="22"/>
      <c r="H354" s="56"/>
    </row>
    <row r="355" spans="7:8" ht="13.2" x14ac:dyDescent="0.25">
      <c r="G355" s="22"/>
      <c r="H355" s="56"/>
    </row>
    <row r="356" spans="7:8" ht="13.2" x14ac:dyDescent="0.25">
      <c r="G356" s="22"/>
      <c r="H356" s="56"/>
    </row>
    <row r="357" spans="7:8" ht="13.2" x14ac:dyDescent="0.25">
      <c r="G357" s="22"/>
      <c r="H357" s="56"/>
    </row>
    <row r="358" spans="7:8" ht="13.2" x14ac:dyDescent="0.25">
      <c r="G358" s="22"/>
      <c r="H358" s="56"/>
    </row>
    <row r="359" spans="7:8" ht="13.2" x14ac:dyDescent="0.25">
      <c r="G359" s="22"/>
      <c r="H359" s="56"/>
    </row>
    <row r="360" spans="7:8" ht="13.2" x14ac:dyDescent="0.25">
      <c r="G360" s="22"/>
      <c r="H360" s="56"/>
    </row>
    <row r="361" spans="7:8" ht="13.2" x14ac:dyDescent="0.25">
      <c r="G361" s="22"/>
      <c r="H361" s="56"/>
    </row>
    <row r="362" spans="7:8" ht="13.2" x14ac:dyDescent="0.25">
      <c r="G362" s="22"/>
      <c r="H362" s="56"/>
    </row>
    <row r="363" spans="7:8" ht="13.2" x14ac:dyDescent="0.25">
      <c r="G363" s="22"/>
      <c r="H363" s="56"/>
    </row>
    <row r="364" spans="7:8" ht="13.2" x14ac:dyDescent="0.25">
      <c r="G364" s="22"/>
      <c r="H364" s="56"/>
    </row>
    <row r="365" spans="7:8" ht="13.2" x14ac:dyDescent="0.25">
      <c r="G365" s="22"/>
      <c r="H365" s="56"/>
    </row>
    <row r="366" spans="7:8" ht="13.2" x14ac:dyDescent="0.25">
      <c r="G366" s="22"/>
      <c r="H366" s="56"/>
    </row>
    <row r="367" spans="7:8" ht="13.2" x14ac:dyDescent="0.25">
      <c r="G367" s="22"/>
      <c r="H367" s="56"/>
    </row>
    <row r="368" spans="7:8" ht="13.2" x14ac:dyDescent="0.25">
      <c r="G368" s="22"/>
      <c r="H368" s="56"/>
    </row>
    <row r="369" spans="7:8" ht="13.2" x14ac:dyDescent="0.25">
      <c r="G369" s="22"/>
      <c r="H369" s="56"/>
    </row>
    <row r="370" spans="7:8" ht="13.2" x14ac:dyDescent="0.25">
      <c r="G370" s="22"/>
      <c r="H370" s="56"/>
    </row>
    <row r="371" spans="7:8" ht="13.2" x14ac:dyDescent="0.25">
      <c r="G371" s="22"/>
      <c r="H371" s="56"/>
    </row>
    <row r="372" spans="7:8" ht="13.2" x14ac:dyDescent="0.25">
      <c r="G372" s="22"/>
      <c r="H372" s="56"/>
    </row>
    <row r="373" spans="7:8" ht="13.2" x14ac:dyDescent="0.25">
      <c r="G373" s="22"/>
      <c r="H373" s="56"/>
    </row>
    <row r="374" spans="7:8" ht="13.2" x14ac:dyDescent="0.25">
      <c r="G374" s="22"/>
      <c r="H374" s="56"/>
    </row>
    <row r="375" spans="7:8" ht="13.2" x14ac:dyDescent="0.25">
      <c r="G375" s="22"/>
      <c r="H375" s="56"/>
    </row>
    <row r="376" spans="7:8" ht="13.2" x14ac:dyDescent="0.25">
      <c r="G376" s="22"/>
      <c r="H376" s="56"/>
    </row>
    <row r="377" spans="7:8" ht="13.2" x14ac:dyDescent="0.25">
      <c r="G377" s="22"/>
      <c r="H377" s="56"/>
    </row>
    <row r="378" spans="7:8" ht="13.2" x14ac:dyDescent="0.25">
      <c r="G378" s="22"/>
      <c r="H378" s="56"/>
    </row>
    <row r="379" spans="7:8" ht="13.2" x14ac:dyDescent="0.25">
      <c r="G379" s="22"/>
      <c r="H379" s="56"/>
    </row>
    <row r="380" spans="7:8" ht="13.2" x14ac:dyDescent="0.25">
      <c r="G380" s="22"/>
      <c r="H380" s="56"/>
    </row>
    <row r="381" spans="7:8" ht="13.2" x14ac:dyDescent="0.25">
      <c r="G381" s="22"/>
      <c r="H381" s="56"/>
    </row>
    <row r="382" spans="7:8" ht="13.2" x14ac:dyDescent="0.25">
      <c r="G382" s="22"/>
      <c r="H382" s="56"/>
    </row>
    <row r="383" spans="7:8" ht="13.2" x14ac:dyDescent="0.25">
      <c r="G383" s="22"/>
      <c r="H383" s="56"/>
    </row>
    <row r="384" spans="7:8" ht="13.2" x14ac:dyDescent="0.25">
      <c r="G384" s="22"/>
      <c r="H384" s="56"/>
    </row>
    <row r="385" spans="7:8" ht="13.2" x14ac:dyDescent="0.25">
      <c r="G385" s="22"/>
      <c r="H385" s="56"/>
    </row>
    <row r="386" spans="7:8" ht="13.2" x14ac:dyDescent="0.25">
      <c r="G386" s="22"/>
      <c r="H386" s="56"/>
    </row>
    <row r="387" spans="7:8" ht="13.2" x14ac:dyDescent="0.25">
      <c r="G387" s="22"/>
      <c r="H387" s="56"/>
    </row>
    <row r="388" spans="7:8" ht="13.2" x14ac:dyDescent="0.25">
      <c r="G388" s="22"/>
      <c r="H388" s="56"/>
    </row>
    <row r="389" spans="7:8" ht="13.2" x14ac:dyDescent="0.25">
      <c r="G389" s="22"/>
      <c r="H389" s="56"/>
    </row>
    <row r="390" spans="7:8" ht="13.2" x14ac:dyDescent="0.25">
      <c r="G390" s="22"/>
      <c r="H390" s="56"/>
    </row>
    <row r="391" spans="7:8" ht="13.2" x14ac:dyDescent="0.25">
      <c r="G391" s="22"/>
      <c r="H391" s="56"/>
    </row>
    <row r="392" spans="7:8" ht="13.2" x14ac:dyDescent="0.25">
      <c r="G392" s="22"/>
      <c r="H392" s="56"/>
    </row>
    <row r="393" spans="7:8" ht="13.2" x14ac:dyDescent="0.25">
      <c r="G393" s="22"/>
      <c r="H393" s="56"/>
    </row>
    <row r="394" spans="7:8" ht="13.2" x14ac:dyDescent="0.25">
      <c r="G394" s="22"/>
      <c r="H394" s="56"/>
    </row>
    <row r="395" spans="7:8" ht="13.2" x14ac:dyDescent="0.25">
      <c r="G395" s="22"/>
      <c r="H395" s="56"/>
    </row>
    <row r="396" spans="7:8" ht="13.2" x14ac:dyDescent="0.25">
      <c r="G396" s="22"/>
      <c r="H396" s="56"/>
    </row>
    <row r="397" spans="7:8" ht="13.2" x14ac:dyDescent="0.25">
      <c r="G397" s="22"/>
      <c r="H397" s="56"/>
    </row>
    <row r="398" spans="7:8" ht="13.2" x14ac:dyDescent="0.25">
      <c r="G398" s="22"/>
      <c r="H398" s="56"/>
    </row>
    <row r="399" spans="7:8" ht="13.2" x14ac:dyDescent="0.25">
      <c r="G399" s="22"/>
      <c r="H399" s="56"/>
    </row>
    <row r="400" spans="7:8" ht="13.2" x14ac:dyDescent="0.25">
      <c r="G400" s="22"/>
      <c r="H400" s="56"/>
    </row>
    <row r="401" spans="7:8" ht="13.2" x14ac:dyDescent="0.25">
      <c r="G401" s="22"/>
      <c r="H401" s="56"/>
    </row>
    <row r="402" spans="7:8" ht="13.2" x14ac:dyDescent="0.25">
      <c r="G402" s="22"/>
      <c r="H402" s="56"/>
    </row>
    <row r="403" spans="7:8" ht="13.2" x14ac:dyDescent="0.25">
      <c r="G403" s="22"/>
      <c r="H403" s="56"/>
    </row>
    <row r="404" spans="7:8" ht="13.2" x14ac:dyDescent="0.25">
      <c r="G404" s="22"/>
      <c r="H404" s="56"/>
    </row>
    <row r="405" spans="7:8" ht="13.2" x14ac:dyDescent="0.25">
      <c r="G405" s="22"/>
      <c r="H405" s="56"/>
    </row>
    <row r="406" spans="7:8" ht="13.2" x14ac:dyDescent="0.25">
      <c r="G406" s="22"/>
      <c r="H406" s="56"/>
    </row>
    <row r="407" spans="7:8" ht="13.2" x14ac:dyDescent="0.25">
      <c r="G407" s="22"/>
      <c r="H407" s="56"/>
    </row>
    <row r="408" spans="7:8" ht="13.2" x14ac:dyDescent="0.25">
      <c r="G408" s="22"/>
      <c r="H408" s="56"/>
    </row>
    <row r="409" spans="7:8" ht="13.2" x14ac:dyDescent="0.25">
      <c r="G409" s="22"/>
      <c r="H409" s="56"/>
    </row>
    <row r="410" spans="7:8" ht="13.2" x14ac:dyDescent="0.25">
      <c r="G410" s="22"/>
      <c r="H410" s="56"/>
    </row>
    <row r="411" spans="7:8" ht="13.2" x14ac:dyDescent="0.25">
      <c r="G411" s="22"/>
      <c r="H411" s="56"/>
    </row>
    <row r="412" spans="7:8" ht="13.2" x14ac:dyDescent="0.25">
      <c r="G412" s="22"/>
      <c r="H412" s="56"/>
    </row>
    <row r="413" spans="7:8" ht="13.2" x14ac:dyDescent="0.25">
      <c r="G413" s="22"/>
      <c r="H413" s="56"/>
    </row>
    <row r="414" spans="7:8" ht="13.2" x14ac:dyDescent="0.25">
      <c r="G414" s="22"/>
      <c r="H414" s="56"/>
    </row>
    <row r="415" spans="7:8" ht="13.2" x14ac:dyDescent="0.25">
      <c r="G415" s="22"/>
      <c r="H415" s="56"/>
    </row>
    <row r="416" spans="7:8" ht="13.2" x14ac:dyDescent="0.25">
      <c r="G416" s="22"/>
      <c r="H416" s="56"/>
    </row>
    <row r="417" spans="7:8" ht="13.2" x14ac:dyDescent="0.25">
      <c r="G417" s="22"/>
      <c r="H417" s="56"/>
    </row>
    <row r="418" spans="7:8" ht="13.2" x14ac:dyDescent="0.25">
      <c r="G418" s="22"/>
      <c r="H418" s="56"/>
    </row>
    <row r="419" spans="7:8" ht="13.2" x14ac:dyDescent="0.25">
      <c r="G419" s="22"/>
      <c r="H419" s="56"/>
    </row>
    <row r="420" spans="7:8" ht="13.2" x14ac:dyDescent="0.25">
      <c r="G420" s="22"/>
      <c r="H420" s="56"/>
    </row>
    <row r="421" spans="7:8" ht="13.2" x14ac:dyDescent="0.25">
      <c r="G421" s="22"/>
      <c r="H421" s="56"/>
    </row>
    <row r="422" spans="7:8" ht="13.2" x14ac:dyDescent="0.25">
      <c r="G422" s="22"/>
      <c r="H422" s="56"/>
    </row>
    <row r="423" spans="7:8" ht="13.2" x14ac:dyDescent="0.25">
      <c r="G423" s="22"/>
      <c r="H423" s="56"/>
    </row>
    <row r="424" spans="7:8" ht="13.2" x14ac:dyDescent="0.25">
      <c r="G424" s="22"/>
      <c r="H424" s="56"/>
    </row>
    <row r="425" spans="7:8" ht="13.2" x14ac:dyDescent="0.25">
      <c r="G425" s="22"/>
      <c r="H425" s="56"/>
    </row>
    <row r="426" spans="7:8" ht="13.2" x14ac:dyDescent="0.25">
      <c r="G426" s="22"/>
      <c r="H426" s="56"/>
    </row>
    <row r="427" spans="7:8" ht="13.2" x14ac:dyDescent="0.25">
      <c r="G427" s="22"/>
      <c r="H427" s="56"/>
    </row>
    <row r="428" spans="7:8" ht="13.2" x14ac:dyDescent="0.25">
      <c r="G428" s="22"/>
      <c r="H428" s="56"/>
    </row>
    <row r="429" spans="7:8" ht="13.2" x14ac:dyDescent="0.25">
      <c r="G429" s="22"/>
      <c r="H429" s="56"/>
    </row>
    <row r="430" spans="7:8" ht="13.2" x14ac:dyDescent="0.25">
      <c r="G430" s="22"/>
      <c r="H430" s="56"/>
    </row>
    <row r="431" spans="7:8" ht="13.2" x14ac:dyDescent="0.25">
      <c r="G431" s="22"/>
      <c r="H431" s="56"/>
    </row>
    <row r="432" spans="7:8" ht="13.2" x14ac:dyDescent="0.25">
      <c r="G432" s="22"/>
      <c r="H432" s="56"/>
    </row>
    <row r="433" spans="7:8" ht="13.2" x14ac:dyDescent="0.25">
      <c r="G433" s="22"/>
      <c r="H433" s="56"/>
    </row>
    <row r="434" spans="7:8" ht="13.2" x14ac:dyDescent="0.25">
      <c r="G434" s="22"/>
      <c r="H434" s="56"/>
    </row>
    <row r="435" spans="7:8" ht="13.2" x14ac:dyDescent="0.25">
      <c r="G435" s="22"/>
      <c r="H435" s="56"/>
    </row>
    <row r="436" spans="7:8" ht="13.2" x14ac:dyDescent="0.25">
      <c r="G436" s="22"/>
      <c r="H436" s="56"/>
    </row>
    <row r="437" spans="7:8" ht="13.2" x14ac:dyDescent="0.25">
      <c r="G437" s="22"/>
      <c r="H437" s="56"/>
    </row>
    <row r="438" spans="7:8" ht="13.2" x14ac:dyDescent="0.25">
      <c r="G438" s="22"/>
      <c r="H438" s="56"/>
    </row>
    <row r="439" spans="7:8" ht="13.2" x14ac:dyDescent="0.25">
      <c r="G439" s="22"/>
      <c r="H439" s="56"/>
    </row>
    <row r="440" spans="7:8" ht="13.2" x14ac:dyDescent="0.25">
      <c r="G440" s="22"/>
      <c r="H440" s="56"/>
    </row>
    <row r="441" spans="7:8" ht="13.2" x14ac:dyDescent="0.25">
      <c r="G441" s="22"/>
      <c r="H441" s="56"/>
    </row>
    <row r="442" spans="7:8" ht="13.2" x14ac:dyDescent="0.25">
      <c r="G442" s="22"/>
      <c r="H442" s="56"/>
    </row>
    <row r="443" spans="7:8" ht="13.2" x14ac:dyDescent="0.25">
      <c r="G443" s="22"/>
      <c r="H443" s="56"/>
    </row>
    <row r="444" spans="7:8" ht="13.2" x14ac:dyDescent="0.25">
      <c r="G444" s="22"/>
      <c r="H444" s="56"/>
    </row>
    <row r="445" spans="7:8" ht="13.2" x14ac:dyDescent="0.25">
      <c r="G445" s="22"/>
      <c r="H445" s="56"/>
    </row>
    <row r="446" spans="7:8" ht="13.2" x14ac:dyDescent="0.25">
      <c r="G446" s="22"/>
      <c r="H446" s="56"/>
    </row>
    <row r="447" spans="7:8" ht="13.2" x14ac:dyDescent="0.25">
      <c r="G447" s="22"/>
      <c r="H447" s="56"/>
    </row>
    <row r="448" spans="7:8" ht="13.2" x14ac:dyDescent="0.25">
      <c r="G448" s="22"/>
      <c r="H448" s="56"/>
    </row>
    <row r="449" spans="7:8" ht="13.2" x14ac:dyDescent="0.25">
      <c r="G449" s="22"/>
      <c r="H449" s="56"/>
    </row>
    <row r="450" spans="7:8" ht="13.2" x14ac:dyDescent="0.25">
      <c r="G450" s="22"/>
      <c r="H450" s="56"/>
    </row>
    <row r="451" spans="7:8" ht="13.2" x14ac:dyDescent="0.25">
      <c r="G451" s="22"/>
      <c r="H451" s="56"/>
    </row>
    <row r="452" spans="7:8" ht="13.2" x14ac:dyDescent="0.25">
      <c r="G452" s="22"/>
      <c r="H452" s="56"/>
    </row>
    <row r="453" spans="7:8" ht="13.2" x14ac:dyDescent="0.25">
      <c r="G453" s="22"/>
      <c r="H453" s="56"/>
    </row>
    <row r="454" spans="7:8" ht="13.2" x14ac:dyDescent="0.25">
      <c r="G454" s="22"/>
      <c r="H454" s="56"/>
    </row>
    <row r="455" spans="7:8" ht="13.2" x14ac:dyDescent="0.25">
      <c r="G455" s="22"/>
      <c r="H455" s="56"/>
    </row>
    <row r="456" spans="7:8" ht="13.2" x14ac:dyDescent="0.25">
      <c r="G456" s="22"/>
      <c r="H456" s="56"/>
    </row>
    <row r="457" spans="7:8" ht="13.2" x14ac:dyDescent="0.25">
      <c r="G457" s="22"/>
      <c r="H457" s="56"/>
    </row>
    <row r="458" spans="7:8" ht="13.2" x14ac:dyDescent="0.25">
      <c r="G458" s="22"/>
      <c r="H458" s="56"/>
    </row>
    <row r="459" spans="7:8" ht="13.2" x14ac:dyDescent="0.25">
      <c r="G459" s="22"/>
      <c r="H459" s="56"/>
    </row>
    <row r="460" spans="7:8" ht="13.2" x14ac:dyDescent="0.25">
      <c r="G460" s="22"/>
      <c r="H460" s="56"/>
    </row>
    <row r="461" spans="7:8" ht="13.2" x14ac:dyDescent="0.25">
      <c r="G461" s="22"/>
      <c r="H461" s="56"/>
    </row>
    <row r="462" spans="7:8" ht="13.2" x14ac:dyDescent="0.25">
      <c r="G462" s="22"/>
      <c r="H462" s="56"/>
    </row>
    <row r="463" spans="7:8" ht="13.2" x14ac:dyDescent="0.25">
      <c r="G463" s="22"/>
      <c r="H463" s="56"/>
    </row>
    <row r="464" spans="7:8" ht="13.2" x14ac:dyDescent="0.25">
      <c r="G464" s="22"/>
      <c r="H464" s="56"/>
    </row>
    <row r="465" spans="7:8" ht="13.2" x14ac:dyDescent="0.25">
      <c r="G465" s="22"/>
      <c r="H465" s="56"/>
    </row>
    <row r="466" spans="7:8" ht="13.2" x14ac:dyDescent="0.25">
      <c r="G466" s="22"/>
      <c r="H466" s="56"/>
    </row>
    <row r="467" spans="7:8" ht="13.2" x14ac:dyDescent="0.25">
      <c r="G467" s="22"/>
      <c r="H467" s="56"/>
    </row>
    <row r="468" spans="7:8" ht="13.2" x14ac:dyDescent="0.25">
      <c r="G468" s="22"/>
      <c r="H468" s="56"/>
    </row>
    <row r="469" spans="7:8" ht="13.2" x14ac:dyDescent="0.25">
      <c r="G469" s="22"/>
      <c r="H469" s="56"/>
    </row>
    <row r="470" spans="7:8" ht="13.2" x14ac:dyDescent="0.25">
      <c r="G470" s="22"/>
      <c r="H470" s="56"/>
    </row>
    <row r="471" spans="7:8" ht="13.2" x14ac:dyDescent="0.25">
      <c r="G471" s="22"/>
      <c r="H471" s="56"/>
    </row>
    <row r="472" spans="7:8" ht="13.2" x14ac:dyDescent="0.25">
      <c r="G472" s="22"/>
      <c r="H472" s="56"/>
    </row>
    <row r="473" spans="7:8" ht="13.2" x14ac:dyDescent="0.25">
      <c r="G473" s="22"/>
      <c r="H473" s="56"/>
    </row>
    <row r="474" spans="7:8" ht="13.2" x14ac:dyDescent="0.25">
      <c r="G474" s="22"/>
      <c r="H474" s="56"/>
    </row>
    <row r="475" spans="7:8" ht="13.2" x14ac:dyDescent="0.25">
      <c r="G475" s="22"/>
      <c r="H475" s="56"/>
    </row>
    <row r="476" spans="7:8" ht="13.2" x14ac:dyDescent="0.25">
      <c r="G476" s="22"/>
      <c r="H476" s="56"/>
    </row>
    <row r="477" spans="7:8" ht="13.2" x14ac:dyDescent="0.25">
      <c r="G477" s="22"/>
      <c r="H477" s="56"/>
    </row>
    <row r="478" spans="7:8" ht="13.2" x14ac:dyDescent="0.25">
      <c r="G478" s="22"/>
      <c r="H478" s="56"/>
    </row>
    <row r="479" spans="7:8" ht="13.2" x14ac:dyDescent="0.25">
      <c r="G479" s="22"/>
      <c r="H479" s="56"/>
    </row>
    <row r="480" spans="7:8" ht="13.2" x14ac:dyDescent="0.25">
      <c r="G480" s="22"/>
      <c r="H480" s="56"/>
    </row>
    <row r="481" spans="7:8" ht="13.2" x14ac:dyDescent="0.25">
      <c r="G481" s="22"/>
      <c r="H481" s="56"/>
    </row>
    <row r="482" spans="7:8" ht="13.2" x14ac:dyDescent="0.25">
      <c r="G482" s="22"/>
      <c r="H482" s="56"/>
    </row>
    <row r="483" spans="7:8" ht="13.2" x14ac:dyDescent="0.25">
      <c r="G483" s="22"/>
      <c r="H483" s="56"/>
    </row>
    <row r="484" spans="7:8" ht="13.2" x14ac:dyDescent="0.25">
      <c r="G484" s="22"/>
      <c r="H484" s="56"/>
    </row>
    <row r="485" spans="7:8" ht="13.2" x14ac:dyDescent="0.25">
      <c r="G485" s="22"/>
      <c r="H485" s="56"/>
    </row>
    <row r="486" spans="7:8" ht="13.2" x14ac:dyDescent="0.25">
      <c r="G486" s="22"/>
      <c r="H486" s="56"/>
    </row>
    <row r="487" spans="7:8" ht="13.2" x14ac:dyDescent="0.25">
      <c r="G487" s="22"/>
      <c r="H487" s="56"/>
    </row>
    <row r="488" spans="7:8" ht="13.2" x14ac:dyDescent="0.25">
      <c r="G488" s="22"/>
      <c r="H488" s="56"/>
    </row>
    <row r="489" spans="7:8" ht="13.2" x14ac:dyDescent="0.25">
      <c r="G489" s="22"/>
      <c r="H489" s="56"/>
    </row>
    <row r="490" spans="7:8" ht="13.2" x14ac:dyDescent="0.25">
      <c r="G490" s="22"/>
      <c r="H490" s="56"/>
    </row>
    <row r="491" spans="7:8" ht="13.2" x14ac:dyDescent="0.25">
      <c r="G491" s="22"/>
      <c r="H491" s="56"/>
    </row>
    <row r="492" spans="7:8" ht="13.2" x14ac:dyDescent="0.25">
      <c r="G492" s="22"/>
      <c r="H492" s="56"/>
    </row>
    <row r="493" spans="7:8" ht="13.2" x14ac:dyDescent="0.25">
      <c r="G493" s="22"/>
      <c r="H493" s="56"/>
    </row>
    <row r="494" spans="7:8" ht="13.2" x14ac:dyDescent="0.25">
      <c r="G494" s="22"/>
      <c r="H494" s="56"/>
    </row>
    <row r="495" spans="7:8" ht="13.2" x14ac:dyDescent="0.25">
      <c r="G495" s="22"/>
      <c r="H495" s="56"/>
    </row>
    <row r="496" spans="7:8" ht="13.2" x14ac:dyDescent="0.25">
      <c r="G496" s="22"/>
      <c r="H496" s="56"/>
    </row>
    <row r="497" spans="7:8" ht="13.2" x14ac:dyDescent="0.25">
      <c r="G497" s="22"/>
      <c r="H497" s="56"/>
    </row>
    <row r="498" spans="7:8" ht="13.2" x14ac:dyDescent="0.25">
      <c r="G498" s="22"/>
      <c r="H498" s="56"/>
    </row>
    <row r="499" spans="7:8" ht="13.2" x14ac:dyDescent="0.25">
      <c r="G499" s="22"/>
      <c r="H499" s="56"/>
    </row>
    <row r="500" spans="7:8" ht="13.2" x14ac:dyDescent="0.25">
      <c r="G500" s="22"/>
      <c r="H500" s="56"/>
    </row>
    <row r="501" spans="7:8" ht="13.2" x14ac:dyDescent="0.25">
      <c r="G501" s="22"/>
      <c r="H501" s="56"/>
    </row>
    <row r="502" spans="7:8" ht="13.2" x14ac:dyDescent="0.25">
      <c r="G502" s="22"/>
      <c r="H502" s="56"/>
    </row>
    <row r="503" spans="7:8" ht="13.2" x14ac:dyDescent="0.25">
      <c r="G503" s="22"/>
      <c r="H503" s="56"/>
    </row>
    <row r="504" spans="7:8" ht="13.2" x14ac:dyDescent="0.25">
      <c r="G504" s="22"/>
      <c r="H504" s="56"/>
    </row>
    <row r="505" spans="7:8" ht="13.2" x14ac:dyDescent="0.25">
      <c r="G505" s="22"/>
      <c r="H505" s="56"/>
    </row>
    <row r="506" spans="7:8" ht="13.2" x14ac:dyDescent="0.25">
      <c r="G506" s="22"/>
      <c r="H506" s="56"/>
    </row>
    <row r="507" spans="7:8" ht="13.2" x14ac:dyDescent="0.25">
      <c r="G507" s="22"/>
      <c r="H507" s="56"/>
    </row>
    <row r="508" spans="7:8" ht="13.2" x14ac:dyDescent="0.25">
      <c r="G508" s="22"/>
      <c r="H508" s="56"/>
    </row>
    <row r="509" spans="7:8" ht="13.2" x14ac:dyDescent="0.25">
      <c r="G509" s="22"/>
      <c r="H509" s="56"/>
    </row>
    <row r="510" spans="7:8" ht="13.2" x14ac:dyDescent="0.25">
      <c r="G510" s="22"/>
      <c r="H510" s="56"/>
    </row>
    <row r="511" spans="7:8" ht="13.2" x14ac:dyDescent="0.25">
      <c r="G511" s="22"/>
      <c r="H511" s="56"/>
    </row>
    <row r="512" spans="7:8" ht="13.2" x14ac:dyDescent="0.25">
      <c r="G512" s="22"/>
      <c r="H512" s="56"/>
    </row>
    <row r="513" spans="7:8" ht="13.2" x14ac:dyDescent="0.25">
      <c r="G513" s="22"/>
      <c r="H513" s="56"/>
    </row>
    <row r="514" spans="7:8" ht="13.2" x14ac:dyDescent="0.25">
      <c r="G514" s="22"/>
      <c r="H514" s="56"/>
    </row>
    <row r="515" spans="7:8" ht="13.2" x14ac:dyDescent="0.25">
      <c r="G515" s="22"/>
      <c r="H515" s="56"/>
    </row>
    <row r="516" spans="7:8" ht="13.2" x14ac:dyDescent="0.25">
      <c r="G516" s="22"/>
      <c r="H516" s="56"/>
    </row>
    <row r="517" spans="7:8" ht="13.2" x14ac:dyDescent="0.25">
      <c r="G517" s="22"/>
      <c r="H517" s="56"/>
    </row>
    <row r="518" spans="7:8" ht="13.2" x14ac:dyDescent="0.25">
      <c r="G518" s="22"/>
      <c r="H518" s="56"/>
    </row>
    <row r="519" spans="7:8" ht="13.2" x14ac:dyDescent="0.25">
      <c r="G519" s="22"/>
      <c r="H519" s="56"/>
    </row>
    <row r="520" spans="7:8" ht="13.2" x14ac:dyDescent="0.25">
      <c r="G520" s="22"/>
      <c r="H520" s="56"/>
    </row>
    <row r="521" spans="7:8" ht="13.2" x14ac:dyDescent="0.25">
      <c r="G521" s="22"/>
      <c r="H521" s="56"/>
    </row>
    <row r="522" spans="7:8" ht="13.2" x14ac:dyDescent="0.25">
      <c r="G522" s="22"/>
      <c r="H522" s="56"/>
    </row>
    <row r="523" spans="7:8" ht="13.2" x14ac:dyDescent="0.25">
      <c r="G523" s="22"/>
      <c r="H523" s="56"/>
    </row>
    <row r="524" spans="7:8" ht="13.2" x14ac:dyDescent="0.25">
      <c r="G524" s="22"/>
      <c r="H524" s="56"/>
    </row>
    <row r="525" spans="7:8" ht="13.2" x14ac:dyDescent="0.25">
      <c r="G525" s="22"/>
      <c r="H525" s="56"/>
    </row>
    <row r="526" spans="7:8" ht="13.2" x14ac:dyDescent="0.25">
      <c r="G526" s="22"/>
      <c r="H526" s="56"/>
    </row>
    <row r="527" spans="7:8" ht="13.2" x14ac:dyDescent="0.25">
      <c r="G527" s="22"/>
      <c r="H527" s="56"/>
    </row>
    <row r="528" spans="7:8" ht="13.2" x14ac:dyDescent="0.25">
      <c r="G528" s="22"/>
      <c r="H528" s="56"/>
    </row>
    <row r="529" spans="7:8" ht="13.2" x14ac:dyDescent="0.25">
      <c r="G529" s="22"/>
      <c r="H529" s="56"/>
    </row>
    <row r="530" spans="7:8" ht="13.2" x14ac:dyDescent="0.25">
      <c r="G530" s="22"/>
      <c r="H530" s="56"/>
    </row>
    <row r="531" spans="7:8" ht="13.2" x14ac:dyDescent="0.25">
      <c r="G531" s="22"/>
      <c r="H531" s="56"/>
    </row>
    <row r="532" spans="7:8" ht="13.2" x14ac:dyDescent="0.25">
      <c r="G532" s="22"/>
      <c r="H532" s="56"/>
    </row>
    <row r="533" spans="7:8" ht="13.2" x14ac:dyDescent="0.25">
      <c r="G533" s="22"/>
      <c r="H533" s="56"/>
    </row>
    <row r="534" spans="7:8" ht="13.2" x14ac:dyDescent="0.25">
      <c r="G534" s="22"/>
      <c r="H534" s="56"/>
    </row>
    <row r="535" spans="7:8" ht="13.2" x14ac:dyDescent="0.25">
      <c r="G535" s="22"/>
      <c r="H535" s="56"/>
    </row>
    <row r="536" spans="7:8" ht="13.2" x14ac:dyDescent="0.25">
      <c r="G536" s="22"/>
      <c r="H536" s="56"/>
    </row>
    <row r="537" spans="7:8" ht="13.2" x14ac:dyDescent="0.25">
      <c r="G537" s="22"/>
      <c r="H537" s="56"/>
    </row>
    <row r="538" spans="7:8" ht="13.2" x14ac:dyDescent="0.25">
      <c r="G538" s="22"/>
      <c r="H538" s="56"/>
    </row>
    <row r="539" spans="7:8" ht="13.2" x14ac:dyDescent="0.25">
      <c r="G539" s="22"/>
      <c r="H539" s="56"/>
    </row>
    <row r="540" spans="7:8" ht="13.2" x14ac:dyDescent="0.25">
      <c r="G540" s="22"/>
      <c r="H540" s="56"/>
    </row>
    <row r="541" spans="7:8" ht="13.2" x14ac:dyDescent="0.25">
      <c r="G541" s="22"/>
      <c r="H541" s="56"/>
    </row>
    <row r="542" spans="7:8" ht="13.2" x14ac:dyDescent="0.25">
      <c r="G542" s="22"/>
      <c r="H542" s="56"/>
    </row>
    <row r="543" spans="7:8" ht="13.2" x14ac:dyDescent="0.25">
      <c r="G543" s="22"/>
      <c r="H543" s="56"/>
    </row>
    <row r="544" spans="7:8" ht="13.2" x14ac:dyDescent="0.25">
      <c r="G544" s="22"/>
      <c r="H544" s="56"/>
    </row>
    <row r="545" spans="7:8" ht="13.2" x14ac:dyDescent="0.25">
      <c r="G545" s="22"/>
      <c r="H545" s="56"/>
    </row>
    <row r="546" spans="7:8" ht="13.2" x14ac:dyDescent="0.25">
      <c r="G546" s="22"/>
      <c r="H546" s="56"/>
    </row>
    <row r="547" spans="7:8" ht="13.2" x14ac:dyDescent="0.25">
      <c r="G547" s="22"/>
      <c r="H547" s="56"/>
    </row>
    <row r="548" spans="7:8" ht="13.2" x14ac:dyDescent="0.25">
      <c r="G548" s="22"/>
      <c r="H548" s="56"/>
    </row>
    <row r="549" spans="7:8" ht="13.2" x14ac:dyDescent="0.25">
      <c r="G549" s="22"/>
      <c r="H549" s="56"/>
    </row>
    <row r="550" spans="7:8" ht="13.2" x14ac:dyDescent="0.25">
      <c r="G550" s="22"/>
      <c r="H550" s="56"/>
    </row>
    <row r="551" spans="7:8" ht="13.2" x14ac:dyDescent="0.25">
      <c r="G551" s="22"/>
      <c r="H551" s="56"/>
    </row>
    <row r="552" spans="7:8" ht="13.2" x14ac:dyDescent="0.25">
      <c r="G552" s="22"/>
      <c r="H552" s="56"/>
    </row>
    <row r="553" spans="7:8" ht="13.2" x14ac:dyDescent="0.25">
      <c r="G553" s="22"/>
      <c r="H553" s="56"/>
    </row>
    <row r="554" spans="7:8" ht="13.2" x14ac:dyDescent="0.25">
      <c r="G554" s="22"/>
      <c r="H554" s="56"/>
    </row>
    <row r="555" spans="7:8" ht="13.2" x14ac:dyDescent="0.25">
      <c r="G555" s="22"/>
      <c r="H555" s="56"/>
    </row>
    <row r="556" spans="7:8" ht="13.2" x14ac:dyDescent="0.25">
      <c r="G556" s="22"/>
      <c r="H556" s="56"/>
    </row>
    <row r="557" spans="7:8" ht="13.2" x14ac:dyDescent="0.25">
      <c r="G557" s="22"/>
      <c r="H557" s="56"/>
    </row>
    <row r="558" spans="7:8" ht="13.2" x14ac:dyDescent="0.25">
      <c r="G558" s="22"/>
      <c r="H558" s="56"/>
    </row>
    <row r="559" spans="7:8" ht="13.2" x14ac:dyDescent="0.25">
      <c r="G559" s="22"/>
      <c r="H559" s="56"/>
    </row>
    <row r="560" spans="7:8" ht="13.2" x14ac:dyDescent="0.25">
      <c r="G560" s="22"/>
      <c r="H560" s="56"/>
    </row>
    <row r="561" spans="7:8" ht="13.2" x14ac:dyDescent="0.25">
      <c r="G561" s="22"/>
      <c r="H561" s="56"/>
    </row>
    <row r="562" spans="7:8" ht="13.2" x14ac:dyDescent="0.25">
      <c r="G562" s="22"/>
      <c r="H562" s="56"/>
    </row>
    <row r="563" spans="7:8" ht="13.2" x14ac:dyDescent="0.25">
      <c r="G563" s="22"/>
      <c r="H563" s="56"/>
    </row>
    <row r="564" spans="7:8" ht="13.2" x14ac:dyDescent="0.25">
      <c r="G564" s="22"/>
      <c r="H564" s="56"/>
    </row>
    <row r="565" spans="7:8" ht="13.2" x14ac:dyDescent="0.25">
      <c r="G565" s="22"/>
      <c r="H565" s="56"/>
    </row>
    <row r="566" spans="7:8" ht="13.2" x14ac:dyDescent="0.25">
      <c r="G566" s="22"/>
      <c r="H566" s="56"/>
    </row>
    <row r="567" spans="7:8" ht="13.2" x14ac:dyDescent="0.25">
      <c r="G567" s="22"/>
      <c r="H567" s="56"/>
    </row>
    <row r="568" spans="7:8" ht="13.2" x14ac:dyDescent="0.25">
      <c r="G568" s="22"/>
      <c r="H568" s="56"/>
    </row>
    <row r="569" spans="7:8" ht="13.2" x14ac:dyDescent="0.25">
      <c r="G569" s="22"/>
      <c r="H569" s="56"/>
    </row>
    <row r="570" spans="7:8" ht="13.2" x14ac:dyDescent="0.25">
      <c r="G570" s="22"/>
      <c r="H570" s="56"/>
    </row>
    <row r="571" spans="7:8" ht="13.2" x14ac:dyDescent="0.25">
      <c r="G571" s="22"/>
      <c r="H571" s="56"/>
    </row>
    <row r="572" spans="7:8" ht="13.2" x14ac:dyDescent="0.25">
      <c r="G572" s="22"/>
      <c r="H572" s="56"/>
    </row>
    <row r="573" spans="7:8" ht="13.2" x14ac:dyDescent="0.25">
      <c r="G573" s="22"/>
      <c r="H573" s="56"/>
    </row>
    <row r="574" spans="7:8" ht="13.2" x14ac:dyDescent="0.25">
      <c r="G574" s="22"/>
      <c r="H574" s="56"/>
    </row>
    <row r="575" spans="7:8" ht="13.2" x14ac:dyDescent="0.25">
      <c r="G575" s="22"/>
      <c r="H575" s="56"/>
    </row>
    <row r="576" spans="7:8" ht="13.2" x14ac:dyDescent="0.25">
      <c r="G576" s="22"/>
      <c r="H576" s="56"/>
    </row>
    <row r="577" spans="7:8" ht="13.2" x14ac:dyDescent="0.25">
      <c r="G577" s="22"/>
      <c r="H577" s="56"/>
    </row>
    <row r="578" spans="7:8" ht="13.2" x14ac:dyDescent="0.25">
      <c r="G578" s="22"/>
      <c r="H578" s="56"/>
    </row>
    <row r="579" spans="7:8" ht="13.2" x14ac:dyDescent="0.25">
      <c r="G579" s="22"/>
      <c r="H579" s="56"/>
    </row>
    <row r="580" spans="7:8" ht="13.2" x14ac:dyDescent="0.25">
      <c r="G580" s="22"/>
      <c r="H580" s="56"/>
    </row>
    <row r="581" spans="7:8" ht="13.2" x14ac:dyDescent="0.25">
      <c r="G581" s="22"/>
      <c r="H581" s="56"/>
    </row>
    <row r="582" spans="7:8" ht="13.2" x14ac:dyDescent="0.25">
      <c r="G582" s="22"/>
      <c r="H582" s="56"/>
    </row>
    <row r="583" spans="7:8" ht="13.2" x14ac:dyDescent="0.25">
      <c r="G583" s="22"/>
      <c r="H583" s="56"/>
    </row>
    <row r="584" spans="7:8" ht="13.2" x14ac:dyDescent="0.25">
      <c r="G584" s="22"/>
      <c r="H584" s="56"/>
    </row>
    <row r="585" spans="7:8" ht="13.2" x14ac:dyDescent="0.25">
      <c r="G585" s="22"/>
      <c r="H585" s="56"/>
    </row>
    <row r="586" spans="7:8" ht="13.2" x14ac:dyDescent="0.25">
      <c r="G586" s="22"/>
      <c r="H586" s="56"/>
    </row>
    <row r="587" spans="7:8" ht="13.2" x14ac:dyDescent="0.25">
      <c r="G587" s="22"/>
      <c r="H587" s="56"/>
    </row>
    <row r="588" spans="7:8" ht="13.2" x14ac:dyDescent="0.25">
      <c r="G588" s="22"/>
      <c r="H588" s="56"/>
    </row>
    <row r="589" spans="7:8" ht="13.2" x14ac:dyDescent="0.25">
      <c r="G589" s="22"/>
      <c r="H589" s="56"/>
    </row>
    <row r="590" spans="7:8" ht="13.2" x14ac:dyDescent="0.25">
      <c r="G590" s="22"/>
      <c r="H590" s="56"/>
    </row>
    <row r="591" spans="7:8" ht="13.2" x14ac:dyDescent="0.25">
      <c r="G591" s="22"/>
      <c r="H591" s="56"/>
    </row>
    <row r="592" spans="7:8" ht="13.2" x14ac:dyDescent="0.25">
      <c r="G592" s="22"/>
      <c r="H592" s="56"/>
    </row>
    <row r="593" spans="7:8" ht="13.2" x14ac:dyDescent="0.25">
      <c r="G593" s="22"/>
      <c r="H593" s="56"/>
    </row>
    <row r="594" spans="7:8" ht="13.2" x14ac:dyDescent="0.25">
      <c r="G594" s="22"/>
      <c r="H594" s="56"/>
    </row>
    <row r="595" spans="7:8" ht="13.2" x14ac:dyDescent="0.25">
      <c r="G595" s="22"/>
      <c r="H595" s="56"/>
    </row>
    <row r="596" spans="7:8" ht="13.2" x14ac:dyDescent="0.25">
      <c r="G596" s="22"/>
      <c r="H596" s="56"/>
    </row>
    <row r="597" spans="7:8" ht="13.2" x14ac:dyDescent="0.25">
      <c r="G597" s="22"/>
      <c r="H597" s="56"/>
    </row>
    <row r="598" spans="7:8" ht="13.2" x14ac:dyDescent="0.25">
      <c r="G598" s="22"/>
      <c r="H598" s="56"/>
    </row>
    <row r="599" spans="7:8" ht="13.2" x14ac:dyDescent="0.25">
      <c r="G599" s="22"/>
      <c r="H599" s="56"/>
    </row>
    <row r="600" spans="7:8" ht="13.2" x14ac:dyDescent="0.25">
      <c r="G600" s="22"/>
      <c r="H600" s="56"/>
    </row>
    <row r="601" spans="7:8" ht="13.2" x14ac:dyDescent="0.25">
      <c r="G601" s="22"/>
      <c r="H601" s="56"/>
    </row>
    <row r="602" spans="7:8" ht="13.2" x14ac:dyDescent="0.25">
      <c r="G602" s="22"/>
      <c r="H602" s="56"/>
    </row>
    <row r="603" spans="7:8" ht="13.2" x14ac:dyDescent="0.25">
      <c r="G603" s="22"/>
      <c r="H603" s="56"/>
    </row>
    <row r="604" spans="7:8" ht="13.2" x14ac:dyDescent="0.25">
      <c r="G604" s="22"/>
      <c r="H604" s="56"/>
    </row>
    <row r="605" spans="7:8" ht="13.2" x14ac:dyDescent="0.25">
      <c r="G605" s="22"/>
      <c r="H605" s="56"/>
    </row>
    <row r="606" spans="7:8" ht="13.2" x14ac:dyDescent="0.25">
      <c r="G606" s="22"/>
      <c r="H606" s="56"/>
    </row>
    <row r="607" spans="7:8" ht="13.2" x14ac:dyDescent="0.25">
      <c r="G607" s="22"/>
      <c r="H607" s="56"/>
    </row>
    <row r="608" spans="7:8" ht="13.2" x14ac:dyDescent="0.25">
      <c r="G608" s="22"/>
      <c r="H608" s="56"/>
    </row>
    <row r="609" spans="7:8" ht="13.2" x14ac:dyDescent="0.25">
      <c r="G609" s="22"/>
      <c r="H609" s="56"/>
    </row>
    <row r="610" spans="7:8" ht="13.2" x14ac:dyDescent="0.25">
      <c r="G610" s="22"/>
      <c r="H610" s="56"/>
    </row>
    <row r="611" spans="7:8" ht="13.2" x14ac:dyDescent="0.25">
      <c r="G611" s="22"/>
      <c r="H611" s="56"/>
    </row>
    <row r="612" spans="7:8" ht="13.2" x14ac:dyDescent="0.25">
      <c r="G612" s="22"/>
      <c r="H612" s="56"/>
    </row>
    <row r="613" spans="7:8" ht="13.2" x14ac:dyDescent="0.25">
      <c r="G613" s="22"/>
      <c r="H613" s="56"/>
    </row>
    <row r="614" spans="7:8" ht="13.2" x14ac:dyDescent="0.25">
      <c r="G614" s="22"/>
      <c r="H614" s="56"/>
    </row>
    <row r="615" spans="7:8" ht="13.2" x14ac:dyDescent="0.25">
      <c r="G615" s="22"/>
      <c r="H615" s="56"/>
    </row>
    <row r="616" spans="7:8" ht="13.2" x14ac:dyDescent="0.25">
      <c r="G616" s="22"/>
      <c r="H616" s="56"/>
    </row>
    <row r="617" spans="7:8" ht="13.2" x14ac:dyDescent="0.25">
      <c r="G617" s="22"/>
      <c r="H617" s="56"/>
    </row>
    <row r="618" spans="7:8" ht="13.2" x14ac:dyDescent="0.25">
      <c r="G618" s="22"/>
      <c r="H618" s="56"/>
    </row>
    <row r="619" spans="7:8" ht="13.2" x14ac:dyDescent="0.25">
      <c r="G619" s="22"/>
      <c r="H619" s="56"/>
    </row>
    <row r="620" spans="7:8" ht="13.2" x14ac:dyDescent="0.25">
      <c r="G620" s="22"/>
      <c r="H620" s="56"/>
    </row>
    <row r="621" spans="7:8" ht="13.2" x14ac:dyDescent="0.25">
      <c r="G621" s="22"/>
      <c r="H621" s="56"/>
    </row>
    <row r="622" spans="7:8" ht="13.2" x14ac:dyDescent="0.25">
      <c r="G622" s="22"/>
      <c r="H622" s="56"/>
    </row>
    <row r="623" spans="7:8" ht="13.2" x14ac:dyDescent="0.25">
      <c r="G623" s="22"/>
      <c r="H623" s="56"/>
    </row>
    <row r="624" spans="7:8" ht="13.2" x14ac:dyDescent="0.25">
      <c r="G624" s="22"/>
      <c r="H624" s="56"/>
    </row>
    <row r="625" spans="7:8" ht="13.2" x14ac:dyDescent="0.25">
      <c r="G625" s="22"/>
      <c r="H625" s="56"/>
    </row>
    <row r="626" spans="7:8" ht="13.2" x14ac:dyDescent="0.25">
      <c r="G626" s="22"/>
      <c r="H626" s="56"/>
    </row>
    <row r="627" spans="7:8" ht="13.2" x14ac:dyDescent="0.25">
      <c r="G627" s="22"/>
      <c r="H627" s="56"/>
    </row>
    <row r="628" spans="7:8" ht="13.2" x14ac:dyDescent="0.25">
      <c r="G628" s="22"/>
      <c r="H628" s="56"/>
    </row>
    <row r="629" spans="7:8" ht="13.2" x14ac:dyDescent="0.25">
      <c r="G629" s="22"/>
      <c r="H629" s="56"/>
    </row>
    <row r="630" spans="7:8" ht="13.2" x14ac:dyDescent="0.25">
      <c r="G630" s="22"/>
      <c r="H630" s="56"/>
    </row>
    <row r="631" spans="7:8" ht="13.2" x14ac:dyDescent="0.25">
      <c r="G631" s="22"/>
      <c r="H631" s="56"/>
    </row>
    <row r="632" spans="7:8" ht="13.2" x14ac:dyDescent="0.25">
      <c r="G632" s="22"/>
      <c r="H632" s="56"/>
    </row>
    <row r="633" spans="7:8" ht="13.2" x14ac:dyDescent="0.25">
      <c r="G633" s="22"/>
      <c r="H633" s="56"/>
    </row>
    <row r="634" spans="7:8" ht="13.2" x14ac:dyDescent="0.25">
      <c r="G634" s="22"/>
      <c r="H634" s="56"/>
    </row>
    <row r="635" spans="7:8" ht="13.2" x14ac:dyDescent="0.25">
      <c r="G635" s="22"/>
      <c r="H635" s="56"/>
    </row>
    <row r="636" spans="7:8" ht="13.2" x14ac:dyDescent="0.25">
      <c r="G636" s="22"/>
      <c r="H636" s="56"/>
    </row>
    <row r="637" spans="7:8" ht="13.2" x14ac:dyDescent="0.25">
      <c r="G637" s="22"/>
      <c r="H637" s="56"/>
    </row>
    <row r="638" spans="7:8" ht="13.2" x14ac:dyDescent="0.25">
      <c r="G638" s="22"/>
      <c r="H638" s="56"/>
    </row>
    <row r="639" spans="7:8" ht="13.2" x14ac:dyDescent="0.25">
      <c r="G639" s="22"/>
      <c r="H639" s="56"/>
    </row>
    <row r="640" spans="7:8" ht="13.2" x14ac:dyDescent="0.25">
      <c r="G640" s="22"/>
      <c r="H640" s="56"/>
    </row>
    <row r="641" spans="7:8" ht="13.2" x14ac:dyDescent="0.25">
      <c r="G641" s="22"/>
      <c r="H641" s="56"/>
    </row>
    <row r="642" spans="7:8" ht="13.2" x14ac:dyDescent="0.25">
      <c r="G642" s="22"/>
      <c r="H642" s="56"/>
    </row>
    <row r="643" spans="7:8" ht="13.2" x14ac:dyDescent="0.25">
      <c r="G643" s="22"/>
      <c r="H643" s="56"/>
    </row>
    <row r="644" spans="7:8" ht="13.2" x14ac:dyDescent="0.25">
      <c r="G644" s="22"/>
      <c r="H644" s="56"/>
    </row>
    <row r="645" spans="7:8" ht="13.2" x14ac:dyDescent="0.25">
      <c r="G645" s="22"/>
      <c r="H645" s="56"/>
    </row>
    <row r="646" spans="7:8" ht="13.2" x14ac:dyDescent="0.25">
      <c r="G646" s="22"/>
      <c r="H646" s="56"/>
    </row>
    <row r="647" spans="7:8" ht="13.2" x14ac:dyDescent="0.25">
      <c r="G647" s="22"/>
      <c r="H647" s="56"/>
    </row>
    <row r="648" spans="7:8" ht="13.2" x14ac:dyDescent="0.25">
      <c r="G648" s="22"/>
      <c r="H648" s="56"/>
    </row>
    <row r="649" spans="7:8" ht="13.2" x14ac:dyDescent="0.25">
      <c r="G649" s="22"/>
      <c r="H649" s="56"/>
    </row>
    <row r="650" spans="7:8" ht="13.2" x14ac:dyDescent="0.25">
      <c r="G650" s="22"/>
      <c r="H650" s="56"/>
    </row>
    <row r="651" spans="7:8" ht="13.2" x14ac:dyDescent="0.25">
      <c r="G651" s="22"/>
      <c r="H651" s="56"/>
    </row>
    <row r="652" spans="7:8" ht="13.2" x14ac:dyDescent="0.25">
      <c r="G652" s="22"/>
      <c r="H652" s="56"/>
    </row>
    <row r="653" spans="7:8" ht="13.2" x14ac:dyDescent="0.25">
      <c r="G653" s="22"/>
      <c r="H653" s="56"/>
    </row>
    <row r="654" spans="7:8" ht="13.2" x14ac:dyDescent="0.25">
      <c r="G654" s="22"/>
      <c r="H654" s="56"/>
    </row>
    <row r="655" spans="7:8" ht="13.2" x14ac:dyDescent="0.25">
      <c r="G655" s="22"/>
      <c r="H655" s="56"/>
    </row>
    <row r="656" spans="7:8" ht="13.2" x14ac:dyDescent="0.25">
      <c r="G656" s="22"/>
      <c r="H656" s="56"/>
    </row>
    <row r="657" spans="7:8" ht="13.2" x14ac:dyDescent="0.25">
      <c r="G657" s="22"/>
      <c r="H657" s="56"/>
    </row>
    <row r="658" spans="7:8" ht="13.2" x14ac:dyDescent="0.25">
      <c r="G658" s="22"/>
      <c r="H658" s="56"/>
    </row>
    <row r="659" spans="7:8" ht="13.2" x14ac:dyDescent="0.25">
      <c r="G659" s="22"/>
      <c r="H659" s="56"/>
    </row>
    <row r="660" spans="7:8" ht="13.2" x14ac:dyDescent="0.25">
      <c r="G660" s="22"/>
      <c r="H660" s="56"/>
    </row>
    <row r="661" spans="7:8" ht="13.2" x14ac:dyDescent="0.25">
      <c r="G661" s="22"/>
      <c r="H661" s="56"/>
    </row>
    <row r="662" spans="7:8" ht="13.2" x14ac:dyDescent="0.25">
      <c r="G662" s="22"/>
      <c r="H662" s="56"/>
    </row>
    <row r="663" spans="7:8" ht="13.2" x14ac:dyDescent="0.25">
      <c r="G663" s="22"/>
      <c r="H663" s="56"/>
    </row>
    <row r="664" spans="7:8" ht="13.2" x14ac:dyDescent="0.25">
      <c r="G664" s="22"/>
      <c r="H664" s="56"/>
    </row>
    <row r="665" spans="7:8" ht="13.2" x14ac:dyDescent="0.25">
      <c r="G665" s="22"/>
      <c r="H665" s="56"/>
    </row>
    <row r="666" spans="7:8" ht="13.2" x14ac:dyDescent="0.25">
      <c r="G666" s="22"/>
      <c r="H666" s="56"/>
    </row>
    <row r="667" spans="7:8" ht="13.2" x14ac:dyDescent="0.25">
      <c r="G667" s="22"/>
      <c r="H667" s="56"/>
    </row>
    <row r="668" spans="7:8" ht="13.2" x14ac:dyDescent="0.25">
      <c r="G668" s="22"/>
      <c r="H668" s="56"/>
    </row>
    <row r="669" spans="7:8" ht="13.2" x14ac:dyDescent="0.25">
      <c r="G669" s="22"/>
      <c r="H669" s="56"/>
    </row>
    <row r="670" spans="7:8" ht="13.2" x14ac:dyDescent="0.25">
      <c r="G670" s="22"/>
      <c r="H670" s="56"/>
    </row>
    <row r="671" spans="7:8" ht="13.2" x14ac:dyDescent="0.25">
      <c r="G671" s="22"/>
      <c r="H671" s="56"/>
    </row>
    <row r="672" spans="7:8" ht="13.2" x14ac:dyDescent="0.25">
      <c r="G672" s="22"/>
      <c r="H672" s="56"/>
    </row>
    <row r="673" spans="7:8" ht="13.2" x14ac:dyDescent="0.25">
      <c r="G673" s="22"/>
      <c r="H673" s="56"/>
    </row>
    <row r="674" spans="7:8" ht="13.2" x14ac:dyDescent="0.25">
      <c r="G674" s="22"/>
      <c r="H674" s="56"/>
    </row>
    <row r="675" spans="7:8" ht="13.2" x14ac:dyDescent="0.25">
      <c r="G675" s="22"/>
      <c r="H675" s="56"/>
    </row>
    <row r="676" spans="7:8" ht="13.2" x14ac:dyDescent="0.25">
      <c r="G676" s="22"/>
      <c r="H676" s="56"/>
    </row>
    <row r="677" spans="7:8" ht="13.2" x14ac:dyDescent="0.25">
      <c r="G677" s="22"/>
      <c r="H677" s="56"/>
    </row>
    <row r="678" spans="7:8" ht="13.2" x14ac:dyDescent="0.25">
      <c r="G678" s="22"/>
      <c r="H678" s="56"/>
    </row>
    <row r="679" spans="7:8" ht="13.2" x14ac:dyDescent="0.25">
      <c r="G679" s="22"/>
      <c r="H679" s="56"/>
    </row>
    <row r="680" spans="7:8" ht="13.2" x14ac:dyDescent="0.25">
      <c r="G680" s="22"/>
      <c r="H680" s="56"/>
    </row>
    <row r="681" spans="7:8" ht="13.2" x14ac:dyDescent="0.25">
      <c r="G681" s="22"/>
      <c r="H681" s="56"/>
    </row>
    <row r="682" spans="7:8" ht="13.2" x14ac:dyDescent="0.25">
      <c r="G682" s="22"/>
      <c r="H682" s="56"/>
    </row>
    <row r="683" spans="7:8" ht="13.2" x14ac:dyDescent="0.25">
      <c r="G683" s="22"/>
      <c r="H683" s="56"/>
    </row>
    <row r="684" spans="7:8" ht="13.2" x14ac:dyDescent="0.25">
      <c r="G684" s="22"/>
      <c r="H684" s="56"/>
    </row>
    <row r="685" spans="7:8" ht="13.2" x14ac:dyDescent="0.25">
      <c r="G685" s="22"/>
      <c r="H685" s="56"/>
    </row>
    <row r="686" spans="7:8" ht="13.2" x14ac:dyDescent="0.25">
      <c r="G686" s="22"/>
      <c r="H686" s="56"/>
    </row>
    <row r="687" spans="7:8" ht="13.2" x14ac:dyDescent="0.25">
      <c r="G687" s="22"/>
      <c r="H687" s="56"/>
    </row>
    <row r="688" spans="7:8" ht="13.2" x14ac:dyDescent="0.25">
      <c r="G688" s="22"/>
      <c r="H688" s="56"/>
    </row>
    <row r="689" spans="7:8" ht="13.2" x14ac:dyDescent="0.25">
      <c r="G689" s="22"/>
      <c r="H689" s="56"/>
    </row>
    <row r="690" spans="7:8" ht="13.2" x14ac:dyDescent="0.25">
      <c r="G690" s="22"/>
      <c r="H690" s="56"/>
    </row>
    <row r="691" spans="7:8" ht="13.2" x14ac:dyDescent="0.25">
      <c r="G691" s="22"/>
      <c r="H691" s="56"/>
    </row>
    <row r="692" spans="7:8" ht="13.2" x14ac:dyDescent="0.25">
      <c r="G692" s="22"/>
      <c r="H692" s="56"/>
    </row>
    <row r="693" spans="7:8" ht="13.2" x14ac:dyDescent="0.25">
      <c r="G693" s="22"/>
      <c r="H693" s="56"/>
    </row>
    <row r="694" spans="7:8" ht="13.2" x14ac:dyDescent="0.25">
      <c r="G694" s="22"/>
      <c r="H694" s="56"/>
    </row>
    <row r="695" spans="7:8" ht="13.2" x14ac:dyDescent="0.25">
      <c r="G695" s="22"/>
      <c r="H695" s="56"/>
    </row>
    <row r="696" spans="7:8" ht="13.2" x14ac:dyDescent="0.25">
      <c r="G696" s="22"/>
      <c r="H696" s="56"/>
    </row>
    <row r="697" spans="7:8" ht="13.2" x14ac:dyDescent="0.25">
      <c r="G697" s="22"/>
      <c r="H697" s="56"/>
    </row>
    <row r="698" spans="7:8" ht="13.2" x14ac:dyDescent="0.25">
      <c r="G698" s="22"/>
      <c r="H698" s="56"/>
    </row>
    <row r="699" spans="7:8" ht="13.2" x14ac:dyDescent="0.25">
      <c r="G699" s="22"/>
      <c r="H699" s="56"/>
    </row>
    <row r="700" spans="7:8" ht="13.2" x14ac:dyDescent="0.25">
      <c r="G700" s="22"/>
      <c r="H700" s="56"/>
    </row>
    <row r="701" spans="7:8" ht="13.2" x14ac:dyDescent="0.25">
      <c r="G701" s="22"/>
      <c r="H701" s="56"/>
    </row>
    <row r="702" spans="7:8" ht="13.2" x14ac:dyDescent="0.25">
      <c r="G702" s="22"/>
      <c r="H702" s="56"/>
    </row>
    <row r="703" spans="7:8" ht="13.2" x14ac:dyDescent="0.25">
      <c r="G703" s="22"/>
      <c r="H703" s="56"/>
    </row>
    <row r="704" spans="7:8" ht="13.2" x14ac:dyDescent="0.25">
      <c r="G704" s="22"/>
      <c r="H704" s="56"/>
    </row>
    <row r="705" spans="7:8" ht="13.2" x14ac:dyDescent="0.25">
      <c r="G705" s="22"/>
      <c r="H705" s="56"/>
    </row>
    <row r="706" spans="7:8" ht="13.2" x14ac:dyDescent="0.25">
      <c r="G706" s="22"/>
      <c r="H706" s="56"/>
    </row>
    <row r="707" spans="7:8" ht="13.2" x14ac:dyDescent="0.25">
      <c r="G707" s="22"/>
      <c r="H707" s="56"/>
    </row>
    <row r="708" spans="7:8" ht="13.2" x14ac:dyDescent="0.25">
      <c r="G708" s="22"/>
      <c r="H708" s="56"/>
    </row>
    <row r="709" spans="7:8" ht="13.2" x14ac:dyDescent="0.25">
      <c r="G709" s="22"/>
      <c r="H709" s="56"/>
    </row>
    <row r="710" spans="7:8" ht="13.2" x14ac:dyDescent="0.25">
      <c r="G710" s="22"/>
      <c r="H710" s="56"/>
    </row>
    <row r="711" spans="7:8" ht="13.2" x14ac:dyDescent="0.25">
      <c r="G711" s="22"/>
      <c r="H711" s="56"/>
    </row>
    <row r="712" spans="7:8" ht="13.2" x14ac:dyDescent="0.25">
      <c r="G712" s="22"/>
      <c r="H712" s="56"/>
    </row>
    <row r="713" spans="7:8" ht="13.2" x14ac:dyDescent="0.25">
      <c r="G713" s="22"/>
      <c r="H713" s="56"/>
    </row>
    <row r="714" spans="7:8" ht="13.2" x14ac:dyDescent="0.25">
      <c r="G714" s="22"/>
      <c r="H714" s="56"/>
    </row>
    <row r="715" spans="7:8" ht="13.2" x14ac:dyDescent="0.25">
      <c r="G715" s="22"/>
      <c r="H715" s="56"/>
    </row>
    <row r="716" spans="7:8" ht="13.2" x14ac:dyDescent="0.25">
      <c r="G716" s="22"/>
      <c r="H716" s="56"/>
    </row>
  </sheetData>
  <mergeCells count="24">
    <mergeCell ref="B4:E4"/>
    <mergeCell ref="B9:C9"/>
    <mergeCell ref="D9:F9"/>
    <mergeCell ref="B11:E11"/>
    <mergeCell ref="B16:C16"/>
    <mergeCell ref="D16:F16"/>
    <mergeCell ref="B18:E18"/>
    <mergeCell ref="B23:C23"/>
    <mergeCell ref="D23:F23"/>
    <mergeCell ref="B25:E25"/>
    <mergeCell ref="B30:C30"/>
    <mergeCell ref="D30:F30"/>
    <mergeCell ref="B32:E32"/>
    <mergeCell ref="D37:F37"/>
    <mergeCell ref="B37:C37"/>
    <mergeCell ref="B39:E39"/>
    <mergeCell ref="B44:C44"/>
    <mergeCell ref="D44:F44"/>
    <mergeCell ref="B46:E46"/>
    <mergeCell ref="D51:F51"/>
    <mergeCell ref="B53:E53"/>
    <mergeCell ref="B51:C51"/>
    <mergeCell ref="B58:C58"/>
    <mergeCell ref="D58:F58"/>
  </mergeCells>
  <dataValidations count="2">
    <dataValidation type="custom" allowBlank="1" showDropDown="1" showInputMessage="1" showErrorMessage="1" prompt="Ide 2006-2010 (2011) közötti évszámok írható be!" sqref="D5:E8 D9 G9 D12:E15 D16 G16 D19:E22 D23 G23 D26:E29 D30 G30 D33:E36 D37 G37 D40:E43 D44 G44 D47:E50 D51 G51 D54:E57 D58 G58" xr:uid="{00000000-0002-0000-0D00-000000000000}">
      <formula1>OR(D5 = "2006", D5="2007",  D5="2008", D5="2009", D5="2010", D5="2011")</formula1>
    </dataValidation>
    <dataValidation type="custom" allowBlank="1" showDropDown="1" showInputMessage="1" showErrorMessage="1" prompt="Ide csak időeredmény (pl: 4:33,9) vagy DNS, DNF, DQ jelzések lehetnek!" sqref="F4:F8 F10:F15 F17:F22 F24:F29 F31:F36 F38:F43 F45:F50 F52:F57 F59" xr:uid="{00000000-0002-0000-0D00-000001000000}">
      <formula1>REGEXMATCH(F4,"^\d{1,2}:\d\d,\d{1,2}$|^DNS$|^DNF$|^DQ$")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C4587"/>
    <outlinePr summaryBelow="0" summaryRight="0"/>
  </sheetPr>
  <dimension ref="A1:AA787"/>
  <sheetViews>
    <sheetView showGridLines="0" workbookViewId="0">
      <pane ySplit="3" topLeftCell="A25" activePane="bottomLeft" state="frozen"/>
      <selection pane="bottomLeft" activeCell="N34" sqref="N34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38.2187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72</v>
      </c>
      <c r="B1" s="2"/>
      <c r="C1" s="3"/>
      <c r="D1" s="4"/>
      <c r="E1" s="5"/>
      <c r="F1" s="5"/>
      <c r="G1" s="5"/>
      <c r="H1" s="46"/>
      <c r="I1" s="47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77</v>
      </c>
      <c r="C4" s="73"/>
      <c r="D4" s="73"/>
      <c r="E4" s="73"/>
      <c r="F4" s="73"/>
      <c r="G4" s="74"/>
      <c r="H4" s="50"/>
      <c r="I4" s="25">
        <f ca="1">IF(COUNTIFS(H5:H9,"&gt;0") &gt; 3, FLOOR((SUM(H5:H9)-MIN(H5,H6,H7,H8,H9))/4,0.0001), )</f>
        <v>5.7375000000000007</v>
      </c>
      <c r="J4" s="26">
        <f ca="1">IF(I4=0,"",RANK(I4,$I$4:$I$75,))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52</v>
      </c>
      <c r="D5" s="30" t="s">
        <v>18</v>
      </c>
      <c r="E5" s="51" t="s">
        <v>78</v>
      </c>
      <c r="F5" s="51" t="s">
        <v>79</v>
      </c>
      <c r="G5" s="51" t="s">
        <v>80</v>
      </c>
      <c r="H5" s="52">
        <f ca="1">IFERROR(__xludf.DUMMYFUNCTION("MAX(IF(REGEXMATCH(E5,""^\d{1},\d{2}$""),VALUE(E5),0),IF(REGEXMATCH(F5,""^\d{1},\d{2}$""),VALUE(F5),0),IF(REGEXMATCH(G5,""^\d{1},\d{2}$""),VALUE(G5),0))"),6.04)</f>
        <v>6.04</v>
      </c>
      <c r="I5" s="21"/>
      <c r="J5" s="22"/>
    </row>
    <row r="6" spans="1:27" ht="18.75" customHeight="1" x14ac:dyDescent="0.25">
      <c r="A6" s="17"/>
      <c r="B6" s="28">
        <v>2</v>
      </c>
      <c r="C6" s="29" t="s">
        <v>81</v>
      </c>
      <c r="D6" s="30" t="s">
        <v>10</v>
      </c>
      <c r="E6" s="51" t="s">
        <v>78</v>
      </c>
      <c r="F6" s="51" t="s">
        <v>82</v>
      </c>
      <c r="G6" s="51" t="s">
        <v>83</v>
      </c>
      <c r="H6" s="52">
        <f ca="1">IFERROR(__xludf.DUMMYFUNCTION("MAX(IF(REGEXMATCH(E6,""^\d{1},\d{2}$""),VALUE(E6),0),IF(REGEXMATCH(F6,""^\d{1},\d{2}$""),VALUE(F6),0),IF(REGEXMATCH(G6,""^\d{1},\d{2}$""),VALUE(G6),0))"),5.12)</f>
        <v>5.12</v>
      </c>
      <c r="I6" s="21"/>
      <c r="J6" s="22"/>
    </row>
    <row r="7" spans="1:27" ht="18.75" customHeight="1" x14ac:dyDescent="0.25">
      <c r="A7" s="17"/>
      <c r="B7" s="28">
        <v>3</v>
      </c>
      <c r="C7" s="29" t="s">
        <v>53</v>
      </c>
      <c r="D7" s="30" t="s">
        <v>18</v>
      </c>
      <c r="E7" s="51" t="s">
        <v>84</v>
      </c>
      <c r="F7" s="51" t="s">
        <v>85</v>
      </c>
      <c r="G7" s="51" t="s">
        <v>78</v>
      </c>
      <c r="H7" s="52">
        <f ca="1">IFERROR(__xludf.DUMMYFUNCTION("MAX(IF(REGEXMATCH(E7,""^\d{1},\d{2}$""),VALUE(E7),0),IF(REGEXMATCH(F7,""^\d{1},\d{2}$""),VALUE(F7),0),IF(REGEXMATCH(G7,""^\d{1},\d{2}$""),VALUE(G7),0))"),5.96)</f>
        <v>5.96</v>
      </c>
      <c r="I7" s="21"/>
      <c r="J7" s="22"/>
    </row>
    <row r="8" spans="1:27" ht="18.75" customHeight="1" x14ac:dyDescent="0.25">
      <c r="A8" s="17"/>
      <c r="B8" s="28">
        <v>4</v>
      </c>
      <c r="C8" s="29" t="s">
        <v>55</v>
      </c>
      <c r="D8" s="30" t="s">
        <v>18</v>
      </c>
      <c r="E8" s="51" t="s">
        <v>86</v>
      </c>
      <c r="F8" s="51" t="s">
        <v>87</v>
      </c>
      <c r="G8" s="51" t="s">
        <v>88</v>
      </c>
      <c r="H8" s="52">
        <f ca="1">IFERROR(__xludf.DUMMYFUNCTION("MAX(IF(REGEXMATCH(E8,""^\d{1},\d{2}$""),VALUE(E8),0),IF(REGEXMATCH(F8,""^\d{1},\d{2}$""),VALUE(F8),0),IF(REGEXMATCH(G8,""^\d{1},\d{2}$""),VALUE(G8),0))"),5.58)</f>
        <v>5.58</v>
      </c>
      <c r="I8" s="21"/>
      <c r="J8" s="22"/>
    </row>
    <row r="9" spans="1:27" ht="18.75" customHeight="1" x14ac:dyDescent="0.25">
      <c r="A9" s="17"/>
      <c r="B9" s="28">
        <v>5</v>
      </c>
      <c r="C9" s="29" t="s">
        <v>56</v>
      </c>
      <c r="D9" s="30" t="s">
        <v>10</v>
      </c>
      <c r="E9" s="51" t="s">
        <v>78</v>
      </c>
      <c r="F9" s="51" t="s">
        <v>89</v>
      </c>
      <c r="G9" s="51" t="s">
        <v>78</v>
      </c>
      <c r="H9" s="52">
        <f ca="1">IFERROR(__xludf.DUMMYFUNCTION("MAX(IF(REGEXMATCH(E9,""^\d{1},\d{2}$""),VALUE(E9),0),IF(REGEXMATCH(F9,""^\d{1},\d{2}$""),VALUE(F9),0),IF(REGEXMATCH(G9,""^\d{1},\d{2}$""),VALUE(G9),0))"),5.37)</f>
        <v>5.37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57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90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5.54</v>
      </c>
      <c r="J12" s="26">
        <f ca="1">IF(I12=0,"",RANK(I12,$I$4:$I$75,))</f>
        <v>2</v>
      </c>
    </row>
    <row r="13" spans="1:27" ht="18.75" customHeight="1" x14ac:dyDescent="0.25">
      <c r="A13" s="17"/>
      <c r="B13" s="28">
        <v>1</v>
      </c>
      <c r="C13" s="29" t="s">
        <v>91</v>
      </c>
      <c r="D13" s="44" t="s">
        <v>26</v>
      </c>
      <c r="E13" s="51" t="s">
        <v>92</v>
      </c>
      <c r="F13" s="51" t="s">
        <v>93</v>
      </c>
      <c r="G13" s="51" t="s">
        <v>94</v>
      </c>
      <c r="H13" s="52">
        <f ca="1">IFERROR(__xludf.DUMMYFUNCTION("MAX(IF(REGEXMATCH(E13,""^\d{1},\d{2}$""),VALUE(E13),0),IF(REGEXMATCH(F13,""^\d{1},\d{2}$""),VALUE(F13),0),IF(REGEXMATCH(G13,""^\d{1},\d{2}$""),VALUE(G13),0))"),5.34)</f>
        <v>5.34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95</v>
      </c>
      <c r="D14" s="44" t="s">
        <v>26</v>
      </c>
      <c r="E14" s="51" t="s">
        <v>96</v>
      </c>
      <c r="F14" s="51" t="s">
        <v>97</v>
      </c>
      <c r="G14" s="51" t="s">
        <v>98</v>
      </c>
      <c r="H14" s="52">
        <f ca="1">IFERROR(__xludf.DUMMYFUNCTION("MAX(IF(REGEXMATCH(E14,""^\d{1},\d{2}$""),VALUE(E14),0),IF(REGEXMATCH(F14,""^\d{1},\d{2}$""),VALUE(F14),0),IF(REGEXMATCH(G14,""^\d{1},\d{2}$""),VALUE(G14),0))"),5.97)</f>
        <v>5.97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99</v>
      </c>
      <c r="D15" s="44" t="s">
        <v>10</v>
      </c>
      <c r="E15" s="51" t="s">
        <v>78</v>
      </c>
      <c r="F15" s="51" t="s">
        <v>100</v>
      </c>
      <c r="G15" s="51" t="s">
        <v>98</v>
      </c>
      <c r="H15" s="52">
        <f ca="1">IFERROR(__xludf.DUMMYFUNCTION("MAX(IF(REGEXMATCH(E15,""^\d{1},\d{2}$""),VALUE(E15),0),IF(REGEXMATCH(F15,""^\d{1},\d{2}$""),VALUE(F15),0),IF(REGEXMATCH(G15,""^\d{1},\d{2}$""),VALUE(G15),0))"),6)</f>
        <v>6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101</v>
      </c>
      <c r="D16" s="44" t="s">
        <v>26</v>
      </c>
      <c r="E16" s="51" t="s">
        <v>102</v>
      </c>
      <c r="F16" s="51" t="s">
        <v>78</v>
      </c>
      <c r="G16" s="51" t="s">
        <v>103</v>
      </c>
      <c r="H16" s="52">
        <f ca="1">IFERROR(__xludf.DUMMYFUNCTION("MAX(IF(REGEXMATCH(E16,""^\d{1},\d{2}$""),VALUE(E16),0),IF(REGEXMATCH(F16,""^\d{1},\d{2}$""),VALUE(F16),0),IF(REGEXMATCH(G16,""^\d{1},\d{2}$""),VALUE(G16),0))"),4.74)</f>
        <v>4.74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104</v>
      </c>
      <c r="D17" s="44" t="s">
        <v>18</v>
      </c>
      <c r="E17" s="51" t="s">
        <v>105</v>
      </c>
      <c r="F17" s="51" t="s">
        <v>106</v>
      </c>
      <c r="G17" s="51" t="s">
        <v>78</v>
      </c>
      <c r="H17" s="52">
        <f ca="1">IFERROR(__xludf.DUMMYFUNCTION("MAX(IF(REGEXMATCH(E17,""^\d{1},\d{2}$""),VALUE(E17),0),IF(REGEXMATCH(F17,""^\d{1},\d{2}$""),VALUE(F17),0),IF(REGEXMATCH(G17,""^\d{1},\d{2}$""),VALUE(G17),0))"),4.85)</f>
        <v>4.8499999999999996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107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64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5.1749999999999998</v>
      </c>
      <c r="J20" s="26">
        <f ca="1">IF(I20=0,"",RANK(I20,$I$4:$I$75,))</f>
        <v>3</v>
      </c>
    </row>
    <row r="21" spans="1:10" ht="13.2" x14ac:dyDescent="0.25">
      <c r="A21" s="17"/>
      <c r="B21" s="28">
        <v>1</v>
      </c>
      <c r="C21" s="29" t="s">
        <v>108</v>
      </c>
      <c r="D21" s="44" t="s">
        <v>26</v>
      </c>
      <c r="E21" s="51" t="s">
        <v>109</v>
      </c>
      <c r="F21" s="51" t="s">
        <v>110</v>
      </c>
      <c r="G21" s="51" t="s">
        <v>111</v>
      </c>
      <c r="H21" s="52">
        <f ca="1">IFERROR(__xludf.DUMMYFUNCTION("MAX(IF(REGEXMATCH(E21,""^\d{1},\d{2}$""),VALUE(E21),0),IF(REGEXMATCH(F21,""^\d{1},\d{2}$""),VALUE(F21),0),IF(REGEXMATCH(G21,""^\d{1},\d{2}$""),VALUE(G21),0))"),5.55)</f>
        <v>5.55</v>
      </c>
      <c r="I21" s="21"/>
      <c r="J21" s="22"/>
    </row>
    <row r="22" spans="1:10" ht="13.2" x14ac:dyDescent="0.25">
      <c r="A22" s="17"/>
      <c r="B22" s="28">
        <v>2</v>
      </c>
      <c r="C22" s="29" t="s">
        <v>65</v>
      </c>
      <c r="D22" s="44" t="s">
        <v>18</v>
      </c>
      <c r="E22" s="51" t="s">
        <v>112</v>
      </c>
      <c r="F22" s="51" t="s">
        <v>113</v>
      </c>
      <c r="G22" s="51" t="s">
        <v>113</v>
      </c>
      <c r="H22" s="52">
        <f ca="1">IFERROR(__xludf.DUMMYFUNCTION("MAX(IF(REGEXMATCH(E22,""^\d{1},\d{2}$""),VALUE(E22),0),IF(REGEXMATCH(F22,""^\d{1},\d{2}$""),VALUE(F22),0),IF(REGEXMATCH(G22,""^\d{1},\d{2}$""),VALUE(G22),0))"),4.78)</f>
        <v>4.78</v>
      </c>
      <c r="I22" s="21"/>
      <c r="J22" s="22"/>
    </row>
    <row r="23" spans="1:10" ht="13.2" x14ac:dyDescent="0.25">
      <c r="A23" s="17"/>
      <c r="B23" s="28">
        <v>3</v>
      </c>
      <c r="C23" s="29" t="s">
        <v>114</v>
      </c>
      <c r="D23" s="44" t="s">
        <v>32</v>
      </c>
      <c r="E23" s="51" t="s">
        <v>78</v>
      </c>
      <c r="F23" s="51" t="s">
        <v>115</v>
      </c>
      <c r="G23" s="51" t="s">
        <v>116</v>
      </c>
      <c r="H23" s="52">
        <f ca="1">IFERROR(__xludf.DUMMYFUNCTION("MAX(IF(REGEXMATCH(E23,""^\d{1},\d{2}$""),VALUE(E23),0),IF(REGEXMATCH(F23,""^\d{1},\d{2}$""),VALUE(F23),0),IF(REGEXMATCH(G23,""^\d{1},\d{2}$""),VALUE(G23),0))"),5.23)</f>
        <v>5.23</v>
      </c>
      <c r="I23" s="21"/>
      <c r="J23" s="22"/>
    </row>
    <row r="24" spans="1:10" ht="13.2" x14ac:dyDescent="0.25">
      <c r="A24" s="17"/>
      <c r="B24" s="28">
        <v>4</v>
      </c>
      <c r="C24" s="29" t="s">
        <v>117</v>
      </c>
      <c r="D24" s="44" t="s">
        <v>32</v>
      </c>
      <c r="E24" s="51" t="s">
        <v>118</v>
      </c>
      <c r="F24" s="51" t="s">
        <v>119</v>
      </c>
      <c r="G24" s="51" t="s">
        <v>120</v>
      </c>
      <c r="H24" s="52">
        <f ca="1">IFERROR(__xludf.DUMMYFUNCTION("MAX(IF(REGEXMATCH(E24,""^\d{1},\d{2}$""),VALUE(E24),0),IF(REGEXMATCH(F24,""^\d{1},\d{2}$""),VALUE(F24),0),IF(REGEXMATCH(G24,""^\d{1},\d{2}$""),VALUE(G24),0))"),5.07)</f>
        <v>5.07</v>
      </c>
      <c r="I24" s="21"/>
      <c r="J24" s="22"/>
    </row>
    <row r="25" spans="1:10" ht="13.2" x14ac:dyDescent="0.25">
      <c r="A25" s="17"/>
      <c r="B25" s="28">
        <v>5</v>
      </c>
      <c r="C25" s="29" t="s">
        <v>68</v>
      </c>
      <c r="D25" s="44" t="s">
        <v>15</v>
      </c>
      <c r="E25" s="51" t="s">
        <v>113</v>
      </c>
      <c r="F25" s="51" t="s">
        <v>106</v>
      </c>
      <c r="G25" s="51" t="s">
        <v>78</v>
      </c>
      <c r="H25" s="52">
        <f ca="1">IFERROR(__xludf.DUMMYFUNCTION("MAX(IF(REGEXMATCH(E25,""^\d{1},\d{2}$""),VALUE(E25),0),IF(REGEXMATCH(F25,""^\d{1},\d{2}$""),VALUE(F25),0),IF(REGEXMATCH(G25,""^\d{1},\d{2}$""),VALUE(G25),0))"),4.85)</f>
        <v>4.8499999999999996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70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121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5.0600000000000005</v>
      </c>
      <c r="J28" s="26">
        <f ca="1">IF(I28=0,"",RANK(I28,$I$4:$I$75,))</f>
        <v>4</v>
      </c>
    </row>
    <row r="29" spans="1:10" ht="13.2" x14ac:dyDescent="0.25">
      <c r="A29" s="17"/>
      <c r="B29" s="28">
        <v>1</v>
      </c>
      <c r="C29" s="29" t="s">
        <v>122</v>
      </c>
      <c r="D29" s="44" t="s">
        <v>26</v>
      </c>
      <c r="E29" s="51" t="s">
        <v>123</v>
      </c>
      <c r="F29" s="51" t="s">
        <v>124</v>
      </c>
      <c r="G29" s="51" t="s">
        <v>125</v>
      </c>
      <c r="H29" s="52">
        <f ca="1">IFERROR(__xludf.DUMMYFUNCTION("MAX(IF(REGEXMATCH(E29,""^\d{1},\d{2}$""),VALUE(E29),0),IF(REGEXMATCH(F29,""^\d{1},\d{2}$""),VALUE(F29),0),IF(REGEXMATCH(G29,""^\d{1},\d{2}$""),VALUE(G29),0))"),5.03)</f>
        <v>5.03</v>
      </c>
      <c r="I29" s="21"/>
      <c r="J29" s="22"/>
    </row>
    <row r="30" spans="1:10" ht="13.2" x14ac:dyDescent="0.25">
      <c r="A30" s="17"/>
      <c r="B30" s="28">
        <v>2</v>
      </c>
      <c r="C30" s="29" t="s">
        <v>126</v>
      </c>
      <c r="D30" s="44" t="s">
        <v>18</v>
      </c>
      <c r="E30" s="51" t="s">
        <v>106</v>
      </c>
      <c r="F30" s="51" t="s">
        <v>127</v>
      </c>
      <c r="G30" s="51" t="s">
        <v>89</v>
      </c>
      <c r="H30" s="52">
        <f ca="1">IFERROR(__xludf.DUMMYFUNCTION("MAX(IF(REGEXMATCH(E30,""^\d{1},\d{2}$""),VALUE(E30),0),IF(REGEXMATCH(F30,""^\d{1},\d{2}$""),VALUE(F30),0),IF(REGEXMATCH(G30,""^\d{1},\d{2}$""),VALUE(G30),0))"),5.37)</f>
        <v>5.37</v>
      </c>
      <c r="I30" s="21"/>
      <c r="J30" s="22"/>
    </row>
    <row r="31" spans="1:10" ht="13.2" x14ac:dyDescent="0.25">
      <c r="A31" s="17"/>
      <c r="B31" s="28">
        <v>3</v>
      </c>
      <c r="C31" s="29" t="s">
        <v>128</v>
      </c>
      <c r="D31" s="44" t="s">
        <v>18</v>
      </c>
      <c r="E31" s="51" t="s">
        <v>129</v>
      </c>
      <c r="F31" s="51" t="s">
        <v>130</v>
      </c>
      <c r="G31" s="51" t="s">
        <v>131</v>
      </c>
      <c r="H31" s="52">
        <f ca="1">IFERROR(__xludf.DUMMYFUNCTION("MAX(IF(REGEXMATCH(E31,""^\d{1},\d{2}$""),VALUE(E31),0),IF(REGEXMATCH(F31,""^\d{1},\d{2}$""),VALUE(F31),0),IF(REGEXMATCH(G31,""^\d{1},\d{2}$""),VALUE(G31),0))"),4.32)</f>
        <v>4.32</v>
      </c>
      <c r="I31" s="21"/>
      <c r="J31" s="22"/>
    </row>
    <row r="32" spans="1:10" ht="13.2" x14ac:dyDescent="0.25">
      <c r="A32" s="17"/>
      <c r="B32" s="28">
        <v>4</v>
      </c>
      <c r="C32" s="29" t="s">
        <v>132</v>
      </c>
      <c r="D32" s="44" t="s">
        <v>18</v>
      </c>
      <c r="E32" s="51" t="s">
        <v>133</v>
      </c>
      <c r="F32" s="51" t="s">
        <v>134</v>
      </c>
      <c r="G32" s="51" t="s">
        <v>135</v>
      </c>
      <c r="H32" s="52">
        <f ca="1">IFERROR(__xludf.DUMMYFUNCTION("MAX(IF(REGEXMATCH(E32,""^\d{1},\d{2}$""),VALUE(E32),0),IF(REGEXMATCH(F32,""^\d{1},\d{2}$""),VALUE(F32),0),IF(REGEXMATCH(G32,""^\d{1},\d{2}$""),VALUE(G32),0))"),5.02)</f>
        <v>5.0199999999999996</v>
      </c>
      <c r="I32" s="21"/>
      <c r="J32" s="22"/>
    </row>
    <row r="33" spans="1:10" ht="13.2" x14ac:dyDescent="0.25">
      <c r="A33" s="17"/>
      <c r="B33" s="28">
        <v>5</v>
      </c>
      <c r="C33" s="29" t="s">
        <v>136</v>
      </c>
      <c r="D33" s="44" t="s">
        <v>18</v>
      </c>
      <c r="E33" s="51" t="s">
        <v>137</v>
      </c>
      <c r="F33" s="51" t="s">
        <v>78</v>
      </c>
      <c r="G33" s="51" t="s">
        <v>138</v>
      </c>
      <c r="H33" s="52">
        <f ca="1">IFERROR(__xludf.DUMMYFUNCTION("MAX(IF(REGEXMATCH(E33,""^\d{1},\d{2}$""),VALUE(E33),0),IF(REGEXMATCH(F33,""^\d{1},\d{2}$""),VALUE(F33),0),IF(REGEXMATCH(G33,""^\d{1},\d{2}$""),VALUE(G33),0))"),4.82)</f>
        <v>4.82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139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5.6" x14ac:dyDescent="0.25">
      <c r="A36" s="23">
        <v>5</v>
      </c>
      <c r="B36" s="72" t="s">
        <v>140</v>
      </c>
      <c r="C36" s="73"/>
      <c r="D36" s="73"/>
      <c r="E36" s="73"/>
      <c r="F36" s="73"/>
      <c r="G36" s="73"/>
      <c r="H36" s="50"/>
      <c r="I36" s="25">
        <f ca="1">IF(COUNTIFS(H37:H41,"&gt;0") &gt; 3, FLOOR((SUM(H37:H41)-MIN(H37,H38,H39,H40,H41))/4,0.0001), )</f>
        <v>5.0575000000000001</v>
      </c>
      <c r="J36" s="26">
        <f ca="1">IF(I36=0,"",RANK(I36,$I$4:$I$75,))</f>
        <v>5</v>
      </c>
    </row>
    <row r="37" spans="1:10" ht="13.2" x14ac:dyDescent="0.25">
      <c r="A37" s="17"/>
      <c r="B37" s="28">
        <v>1</v>
      </c>
      <c r="C37" s="29" t="s">
        <v>141</v>
      </c>
      <c r="D37" s="44" t="s">
        <v>26</v>
      </c>
      <c r="E37" s="51" t="s">
        <v>142</v>
      </c>
      <c r="F37" s="51" t="s">
        <v>143</v>
      </c>
      <c r="G37" s="51" t="s">
        <v>78</v>
      </c>
      <c r="H37" s="52">
        <f ca="1">IFERROR(__xludf.DUMMYFUNCTION("MAX(IF(REGEXMATCH(E37,""^\d{1},\d{2}$""),VALUE(E37),0),IF(REGEXMATCH(F37,""^\d{1},\d{2}$""),VALUE(F37),0),IF(REGEXMATCH(G37,""^\d{1},\d{2}$""),VALUE(G37),0))"),4.83)</f>
        <v>4.83</v>
      </c>
      <c r="I37" s="21"/>
      <c r="J37" s="22"/>
    </row>
    <row r="38" spans="1:10" ht="13.2" x14ac:dyDescent="0.25">
      <c r="A38" s="17"/>
      <c r="B38" s="28">
        <v>2</v>
      </c>
      <c r="C38" s="29" t="s">
        <v>144</v>
      </c>
      <c r="D38" s="44" t="s">
        <v>18</v>
      </c>
      <c r="E38" s="51" t="s">
        <v>135</v>
      </c>
      <c r="F38" s="51" t="s">
        <v>78</v>
      </c>
      <c r="G38" s="51" t="s">
        <v>124</v>
      </c>
      <c r="H38" s="52">
        <f ca="1">IFERROR(__xludf.DUMMYFUNCTION("MAX(IF(REGEXMATCH(E38,""^\d{1},\d{2}$""),VALUE(E38),0),IF(REGEXMATCH(F38,""^\d{1},\d{2}$""),VALUE(F38),0),IF(REGEXMATCH(G38,""^\d{1},\d{2}$""),VALUE(G38),0))"),4.93)</f>
        <v>4.93</v>
      </c>
      <c r="I38" s="21"/>
      <c r="J38" s="22"/>
    </row>
    <row r="39" spans="1:10" ht="13.2" x14ac:dyDescent="0.25">
      <c r="A39" s="17"/>
      <c r="B39" s="28">
        <v>3</v>
      </c>
      <c r="C39" s="29" t="s">
        <v>145</v>
      </c>
      <c r="D39" s="44" t="s">
        <v>18</v>
      </c>
      <c r="E39" s="51" t="s">
        <v>146</v>
      </c>
      <c r="F39" s="51" t="s">
        <v>78</v>
      </c>
      <c r="G39" s="51" t="s">
        <v>78</v>
      </c>
      <c r="H39" s="52">
        <f ca="1">IFERROR(__xludf.DUMMYFUNCTION("MAX(IF(REGEXMATCH(E39,""^\d{1},\d{2}$""),VALUE(E39),0),IF(REGEXMATCH(F39,""^\d{1},\d{2}$""),VALUE(F39),0),IF(REGEXMATCH(G39,""^\d{1},\d{2}$""),VALUE(G39),0))"),5.15)</f>
        <v>5.15</v>
      </c>
      <c r="I39" s="21"/>
      <c r="J39" s="22"/>
    </row>
    <row r="40" spans="1:10" ht="13.2" x14ac:dyDescent="0.25">
      <c r="A40" s="17"/>
      <c r="B40" s="28">
        <v>4</v>
      </c>
      <c r="C40" s="29" t="s">
        <v>147</v>
      </c>
      <c r="D40" s="44" t="s">
        <v>26</v>
      </c>
      <c r="E40" s="51" t="s">
        <v>78</v>
      </c>
      <c r="F40" s="51" t="s">
        <v>148</v>
      </c>
      <c r="G40" s="51" t="s">
        <v>83</v>
      </c>
      <c r="H40" s="52">
        <f ca="1">IFERROR(__xludf.DUMMYFUNCTION("MAX(IF(REGEXMATCH(E40,""^\d{1},\d{2}$""),VALUE(E40),0),IF(REGEXMATCH(F40,""^\d{1},\d{2}$""),VALUE(F40),0),IF(REGEXMATCH(G40,""^\d{1},\d{2}$""),VALUE(G40),0))"),5.32)</f>
        <v>5.32</v>
      </c>
      <c r="I40" s="21"/>
      <c r="J40" s="22"/>
    </row>
    <row r="41" spans="1:10" ht="13.2" x14ac:dyDescent="0.25">
      <c r="A41" s="17"/>
      <c r="B41" s="28">
        <v>5</v>
      </c>
      <c r="C41" s="29" t="s">
        <v>149</v>
      </c>
      <c r="D41" s="44" t="s">
        <v>26</v>
      </c>
      <c r="E41" s="51" t="s">
        <v>78</v>
      </c>
      <c r="F41" s="51" t="s">
        <v>112</v>
      </c>
      <c r="G41" s="51" t="s">
        <v>150</v>
      </c>
      <c r="H41" s="52">
        <f ca="1">IFERROR(__xludf.DUMMYFUNCTION("MAX(IF(REGEXMATCH(E41,""^\d{1},\d{2}$""),VALUE(E41),0),IF(REGEXMATCH(F41,""^\d{1},\d{2}$""),VALUE(F41),0),IF(REGEXMATCH(G41,""^\d{1},\d{2}$""),VALUE(G41),0))"),4.78)</f>
        <v>4.78</v>
      </c>
      <c r="I41" s="21"/>
      <c r="J41" s="22"/>
    </row>
    <row r="42" spans="1:10" ht="13.2" x14ac:dyDescent="0.25">
      <c r="A42" s="17"/>
      <c r="B42" s="53" t="s">
        <v>22</v>
      </c>
      <c r="C42" s="36"/>
      <c r="D42" s="37" t="s">
        <v>57</v>
      </c>
      <c r="E42" s="38"/>
      <c r="F42" s="38"/>
      <c r="G42" s="38"/>
      <c r="H42" s="55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5.6" x14ac:dyDescent="0.25">
      <c r="A44" s="23">
        <v>6</v>
      </c>
      <c r="B44" s="72" t="s">
        <v>35</v>
      </c>
      <c r="C44" s="73"/>
      <c r="D44" s="73"/>
      <c r="E44" s="73"/>
      <c r="F44" s="73"/>
      <c r="G44" s="73"/>
      <c r="H44" s="50"/>
      <c r="I44" s="25">
        <f ca="1">IF(COUNTIFS(H45:H49,"&gt;0") &gt; 3, FLOOR((SUM(H45:H49)-MIN(H45,H46,H47,H48,H49))/4,0.0001), )</f>
        <v>5.0175000000000001</v>
      </c>
      <c r="J44" s="26">
        <f ca="1">IF(I44=0,"",RANK(I44,$I$4:$I$75,))</f>
        <v>6</v>
      </c>
    </row>
    <row r="45" spans="1:10" ht="13.2" x14ac:dyDescent="0.25">
      <c r="A45" s="17"/>
      <c r="B45" s="28">
        <v>1</v>
      </c>
      <c r="C45" s="29" t="s">
        <v>151</v>
      </c>
      <c r="D45" s="44" t="s">
        <v>26</v>
      </c>
      <c r="E45" s="51" t="s">
        <v>152</v>
      </c>
      <c r="F45" s="51" t="s">
        <v>112</v>
      </c>
      <c r="G45" s="51" t="s">
        <v>153</v>
      </c>
      <c r="H45" s="52">
        <f ca="1">IFERROR(__xludf.DUMMYFUNCTION("MAX(IF(REGEXMATCH(E45,""^\d{1},\d{2}$""),VALUE(E45),0),IF(REGEXMATCH(F45,""^\d{1},\d{2}$""),VALUE(F45),0),IF(REGEXMATCH(G45,""^\d{1},\d{2}$""),VALUE(G45),0))"),4.78)</f>
        <v>4.78</v>
      </c>
      <c r="I45" s="21"/>
      <c r="J45" s="22"/>
    </row>
    <row r="46" spans="1:10" ht="13.2" x14ac:dyDescent="0.25">
      <c r="A46" s="17"/>
      <c r="B46" s="28">
        <v>2</v>
      </c>
      <c r="C46" s="29" t="s">
        <v>36</v>
      </c>
      <c r="D46" s="44" t="s">
        <v>10</v>
      </c>
      <c r="E46" s="51" t="s">
        <v>154</v>
      </c>
      <c r="F46" s="51" t="s">
        <v>78</v>
      </c>
      <c r="G46" s="51" t="s">
        <v>146</v>
      </c>
      <c r="H46" s="52">
        <f ca="1">IFERROR(__xludf.DUMMYFUNCTION("MAX(IF(REGEXMATCH(E46,""^\d{1},\d{2}$""),VALUE(E46),0),IF(REGEXMATCH(F46,""^\d{1},\d{2}$""),VALUE(F46),0),IF(REGEXMATCH(G46,""^\d{1},\d{2}$""),VALUE(G46),0))"),5.16)</f>
        <v>5.16</v>
      </c>
      <c r="I46" s="21"/>
      <c r="J46" s="22"/>
    </row>
    <row r="47" spans="1:10" ht="13.2" x14ac:dyDescent="0.25">
      <c r="A47" s="17"/>
      <c r="B47" s="28">
        <v>3</v>
      </c>
      <c r="C47" s="29" t="s">
        <v>155</v>
      </c>
      <c r="D47" s="44" t="s">
        <v>26</v>
      </c>
      <c r="E47" s="51" t="s">
        <v>156</v>
      </c>
      <c r="F47" s="51" t="s">
        <v>137</v>
      </c>
      <c r="G47" s="51" t="s">
        <v>82</v>
      </c>
      <c r="H47" s="52">
        <f ca="1">IFERROR(__xludf.DUMMYFUNCTION("MAX(IF(REGEXMATCH(E47,""^\d{1},\d{2}$""),VALUE(E47),0),IF(REGEXMATCH(F47,""^\d{1},\d{2}$""),VALUE(F47),0),IF(REGEXMATCH(G47,""^\d{1},\d{2}$""),VALUE(G47),0))"),4.87)</f>
        <v>4.87</v>
      </c>
      <c r="I47" s="21"/>
      <c r="J47" s="22"/>
    </row>
    <row r="48" spans="1:10" ht="13.2" x14ac:dyDescent="0.25">
      <c r="A48" s="17"/>
      <c r="B48" s="28">
        <v>4</v>
      </c>
      <c r="C48" s="29" t="s">
        <v>157</v>
      </c>
      <c r="D48" s="44" t="s">
        <v>26</v>
      </c>
      <c r="E48" s="51" t="s">
        <v>134</v>
      </c>
      <c r="F48" s="51" t="s">
        <v>124</v>
      </c>
      <c r="G48" s="51" t="s">
        <v>158</v>
      </c>
      <c r="H48" s="52">
        <f ca="1">IFERROR(__xludf.DUMMYFUNCTION("MAX(IF(REGEXMATCH(E48,""^\d{1},\d{2}$""),VALUE(E48),0),IF(REGEXMATCH(F48,""^\d{1},\d{2}$""),VALUE(F48),0),IF(REGEXMATCH(G48,""^\d{1},\d{2}$""),VALUE(G48),0))"),5.02)</f>
        <v>5.0199999999999996</v>
      </c>
      <c r="I48" s="21"/>
      <c r="J48" s="22"/>
    </row>
    <row r="49" spans="1:10" ht="13.2" x14ac:dyDescent="0.25">
      <c r="A49" s="17"/>
      <c r="B49" s="28">
        <v>5</v>
      </c>
      <c r="C49" s="29" t="s">
        <v>159</v>
      </c>
      <c r="D49" s="44" t="s">
        <v>18</v>
      </c>
      <c r="E49" s="51" t="s">
        <v>134</v>
      </c>
      <c r="F49" s="51" t="s">
        <v>158</v>
      </c>
      <c r="G49" s="51" t="s">
        <v>158</v>
      </c>
      <c r="H49" s="52">
        <f ca="1">IFERROR(__xludf.DUMMYFUNCTION("MAX(IF(REGEXMATCH(E49,""^\d{1},\d{2}$""),VALUE(E49),0),IF(REGEXMATCH(F49,""^\d{1},\d{2}$""),VALUE(F49),0),IF(REGEXMATCH(G49,""^\d{1},\d{2}$""),VALUE(G49),0))"),5.02)</f>
        <v>5.0199999999999996</v>
      </c>
      <c r="I49" s="21"/>
      <c r="J49" s="22"/>
    </row>
    <row r="50" spans="1:10" ht="13.2" x14ac:dyDescent="0.25">
      <c r="A50" s="17"/>
      <c r="B50" s="53" t="s">
        <v>22</v>
      </c>
      <c r="C50" s="36"/>
      <c r="D50" s="37" t="s">
        <v>45</v>
      </c>
      <c r="E50" s="38"/>
      <c r="F50" s="38"/>
      <c r="G50" s="38"/>
      <c r="H50" s="55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5.6" x14ac:dyDescent="0.25">
      <c r="A52" s="23">
        <v>7</v>
      </c>
      <c r="B52" s="72" t="s">
        <v>8</v>
      </c>
      <c r="C52" s="73"/>
      <c r="D52" s="73"/>
      <c r="E52" s="73"/>
      <c r="F52" s="73"/>
      <c r="G52" s="73"/>
      <c r="H52" s="50"/>
      <c r="I52" s="25">
        <f ca="1">IF(COUNTIFS(H53:H57,"&gt;0") &gt; 3, FLOOR((SUM(H53:H57)-MIN(H53,H54,H55,H56,H57))/4,0.0001), )</f>
        <v>4.6850000000000005</v>
      </c>
      <c r="J52" s="26">
        <f ca="1">IF(I52=0,"",RANK(I52,$I$4:$I$75,))</f>
        <v>7</v>
      </c>
    </row>
    <row r="53" spans="1:10" ht="13.2" x14ac:dyDescent="0.25">
      <c r="A53" s="17"/>
      <c r="B53" s="28">
        <v>1</v>
      </c>
      <c r="C53" s="29" t="s">
        <v>9</v>
      </c>
      <c r="D53" s="44" t="s">
        <v>10</v>
      </c>
      <c r="E53" s="51" t="s">
        <v>78</v>
      </c>
      <c r="F53" s="51" t="s">
        <v>160</v>
      </c>
      <c r="G53" s="51" t="s">
        <v>78</v>
      </c>
      <c r="H53" s="52">
        <f ca="1">IFERROR(__xludf.DUMMYFUNCTION("MAX(IF(REGEXMATCH(E53,""^\d{1},\d{2}$""),VALUE(E53),0),IF(REGEXMATCH(F53,""^\d{1},\d{2}$""),VALUE(F53),0),IF(REGEXMATCH(G53,""^\d{1},\d{2}$""),VALUE(G53),0))"),4.76)</f>
        <v>4.76</v>
      </c>
      <c r="I53" s="21"/>
      <c r="J53" s="22"/>
    </row>
    <row r="54" spans="1:10" ht="13.2" x14ac:dyDescent="0.25">
      <c r="A54" s="17"/>
      <c r="B54" s="28">
        <v>2</v>
      </c>
      <c r="C54" s="29" t="s">
        <v>14</v>
      </c>
      <c r="D54" s="44" t="s">
        <v>15</v>
      </c>
      <c r="E54" s="51" t="s">
        <v>112</v>
      </c>
      <c r="F54" s="51" t="s">
        <v>78</v>
      </c>
      <c r="G54" s="51" t="s">
        <v>161</v>
      </c>
      <c r="H54" s="52">
        <f ca="1">IFERROR(__xludf.DUMMYFUNCTION("MAX(IF(REGEXMATCH(E54,""^\d{1},\d{2}$""),VALUE(E54),0),IF(REGEXMATCH(F54,""^\d{1},\d{2}$""),VALUE(F54),0),IF(REGEXMATCH(G54,""^\d{1},\d{2}$""),VALUE(G54),0))"),4.78)</f>
        <v>4.78</v>
      </c>
      <c r="I54" s="21"/>
      <c r="J54" s="22"/>
    </row>
    <row r="55" spans="1:10" ht="13.2" x14ac:dyDescent="0.25">
      <c r="A55" s="17"/>
      <c r="B55" s="28">
        <v>3</v>
      </c>
      <c r="C55" s="29" t="s">
        <v>162</v>
      </c>
      <c r="D55" s="44" t="s">
        <v>10</v>
      </c>
      <c r="E55" s="51" t="s">
        <v>163</v>
      </c>
      <c r="F55" s="51" t="s">
        <v>78</v>
      </c>
      <c r="G55" s="51" t="s">
        <v>164</v>
      </c>
      <c r="H55" s="52">
        <f ca="1">IFERROR(__xludf.DUMMYFUNCTION("MAX(IF(REGEXMATCH(E55,""^\d{1},\d{2}$""),VALUE(E55),0),IF(REGEXMATCH(F55,""^\d{1},\d{2}$""),VALUE(F55),0),IF(REGEXMATCH(G55,""^\d{1},\d{2}$""),VALUE(G55),0))"),4.65)</f>
        <v>4.6500000000000004</v>
      </c>
      <c r="I55" s="21"/>
      <c r="J55" s="22"/>
    </row>
    <row r="56" spans="1:10" ht="13.2" x14ac:dyDescent="0.25">
      <c r="A56" s="17"/>
      <c r="B56" s="28">
        <v>4</v>
      </c>
      <c r="C56" s="29" t="s">
        <v>165</v>
      </c>
      <c r="D56" s="44" t="s">
        <v>10</v>
      </c>
      <c r="E56" s="51" t="s">
        <v>166</v>
      </c>
      <c r="F56" s="51" t="s">
        <v>78</v>
      </c>
      <c r="G56" s="51" t="s">
        <v>167</v>
      </c>
      <c r="H56" s="52">
        <f ca="1">IFERROR(__xludf.DUMMYFUNCTION("MAX(IF(REGEXMATCH(E56,""^\d{1},\d{2}$""),VALUE(E56),0),IF(REGEXMATCH(F56,""^\d{1},\d{2}$""),VALUE(F56),0),IF(REGEXMATCH(G56,""^\d{1},\d{2}$""),VALUE(G56),0))"),4.55)</f>
        <v>4.55</v>
      </c>
      <c r="I56" s="21"/>
      <c r="J56" s="22"/>
    </row>
    <row r="57" spans="1:10" ht="13.2" x14ac:dyDescent="0.25">
      <c r="A57" s="17"/>
      <c r="B57" s="28">
        <v>5</v>
      </c>
      <c r="C57" s="29"/>
      <c r="D57" s="44"/>
      <c r="E57" s="51"/>
      <c r="F57" s="51"/>
      <c r="G57" s="51"/>
      <c r="H57" s="52">
        <f ca="1">IFERROR(__xludf.DUMMYFUNCTION("MAX(IF(REGEXMATCH(E57,""^\d{1},\d{2}$""),VALUE(E57),0),IF(REGEXMATCH(F57,""^\d{1},\d{2}$""),VALUE(F57),0),IF(REGEXMATCH(G57,""^\d{1},\d{2}$""),VALUE(G57),0))"),0)</f>
        <v>0</v>
      </c>
      <c r="I57" s="21"/>
      <c r="J57" s="22"/>
    </row>
    <row r="58" spans="1:10" ht="13.2" x14ac:dyDescent="0.25">
      <c r="A58" s="17"/>
      <c r="B58" s="53" t="s">
        <v>22</v>
      </c>
      <c r="C58" s="36"/>
      <c r="D58" s="37" t="s">
        <v>23</v>
      </c>
      <c r="E58" s="38"/>
      <c r="F58" s="38"/>
      <c r="G58" s="38"/>
      <c r="H58" s="55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5.6" x14ac:dyDescent="0.25">
      <c r="A60" s="23">
        <v>8</v>
      </c>
      <c r="B60" s="72" t="s">
        <v>168</v>
      </c>
      <c r="C60" s="73"/>
      <c r="D60" s="73"/>
      <c r="E60" s="73"/>
      <c r="F60" s="73"/>
      <c r="G60" s="73"/>
      <c r="H60" s="50"/>
      <c r="I60" s="25">
        <f ca="1">IF(COUNTIFS(H61:H65,"&gt;0") &gt; 3, FLOOR((SUM(H61:H65)-MIN(H61,H62,H63,H64,H65))/4,0.0001), )</f>
        <v>0</v>
      </c>
      <c r="J60" s="26" t="str">
        <f ca="1">IF(I60=0,"",RANK(I60,$I$4:$I$75,))</f>
        <v/>
      </c>
    </row>
    <row r="61" spans="1:10" ht="13.2" x14ac:dyDescent="0.25">
      <c r="A61" s="17"/>
      <c r="B61" s="28">
        <v>1</v>
      </c>
      <c r="C61" s="29" t="s">
        <v>169</v>
      </c>
      <c r="D61" s="44" t="s">
        <v>10</v>
      </c>
      <c r="E61" s="51" t="s">
        <v>78</v>
      </c>
      <c r="F61" s="51" t="s">
        <v>170</v>
      </c>
      <c r="G61" s="51" t="s">
        <v>78</v>
      </c>
      <c r="H61" s="52">
        <f ca="1">IFERROR(__xludf.DUMMYFUNCTION("MAX(IF(REGEXMATCH(E61,""^\d{1},\d{2}$""),VALUE(E61),0),IF(REGEXMATCH(F61,""^\d{1},\d{2}$""),VALUE(F61),0),IF(REGEXMATCH(G61,""^\d{1},\d{2}$""),VALUE(G61),0))"),4.68)</f>
        <v>4.68</v>
      </c>
      <c r="I61" s="21"/>
      <c r="J61" s="22"/>
    </row>
    <row r="62" spans="1:10" ht="13.2" x14ac:dyDescent="0.25">
      <c r="A62" s="17"/>
      <c r="B62" s="28">
        <v>2</v>
      </c>
      <c r="C62" s="29" t="s">
        <v>171</v>
      </c>
      <c r="D62" s="44" t="s">
        <v>10</v>
      </c>
      <c r="E62" s="51" t="s">
        <v>78</v>
      </c>
      <c r="F62" s="51" t="s">
        <v>78</v>
      </c>
      <c r="G62" s="51" t="s">
        <v>78</v>
      </c>
      <c r="H62" s="52">
        <f ca="1">IFERROR(__xludf.DUMMYFUNCTION("MAX(IF(REGEXMATCH(E62,""^\d{1},\d{2}$""),VALUE(E62),0),IF(REGEXMATCH(F62,""^\d{1},\d{2}$""),VALUE(F62),0),IF(REGEXMATCH(G62,""^\d{1},\d{2}$""),VALUE(G62),0))"),0)</f>
        <v>0</v>
      </c>
      <c r="I62" s="21"/>
      <c r="J62" s="22"/>
    </row>
    <row r="63" spans="1:10" ht="13.2" x14ac:dyDescent="0.25">
      <c r="A63" s="17"/>
      <c r="B63" s="28">
        <v>3</v>
      </c>
      <c r="C63" s="29" t="s">
        <v>172</v>
      </c>
      <c r="D63" s="44" t="s">
        <v>18</v>
      </c>
      <c r="E63" s="51" t="s">
        <v>173</v>
      </c>
      <c r="F63" s="51" t="s">
        <v>78</v>
      </c>
      <c r="G63" s="51" t="s">
        <v>124</v>
      </c>
      <c r="H63" s="52">
        <f ca="1">IFERROR(__xludf.DUMMYFUNCTION("MAX(IF(REGEXMATCH(E63,""^\d{1},\d{2}$""),VALUE(E63),0),IF(REGEXMATCH(F63,""^\d{1},\d{2}$""),VALUE(F63),0),IF(REGEXMATCH(G63,""^\d{1},\d{2}$""),VALUE(G63),0))"),4.8)</f>
        <v>4.8</v>
      </c>
      <c r="I63" s="21"/>
      <c r="J63" s="22"/>
    </row>
    <row r="64" spans="1:10" ht="13.2" x14ac:dyDescent="0.25">
      <c r="A64" s="17"/>
      <c r="B64" s="28">
        <v>4</v>
      </c>
      <c r="C64" s="29" t="s">
        <v>174</v>
      </c>
      <c r="D64" s="44" t="s">
        <v>15</v>
      </c>
      <c r="E64" s="51" t="s">
        <v>175</v>
      </c>
      <c r="F64" s="51" t="s">
        <v>78</v>
      </c>
      <c r="G64" s="51" t="s">
        <v>176</v>
      </c>
      <c r="H64" s="52">
        <f ca="1">IFERROR(__xludf.DUMMYFUNCTION("MAX(IF(REGEXMATCH(E64,""^\d{1},\d{2}$""),VALUE(E64),0),IF(REGEXMATCH(F64,""^\d{1},\d{2}$""),VALUE(F64),0),IF(REGEXMATCH(G64,""^\d{1},\d{2}$""),VALUE(G64),0))"),5.6)</f>
        <v>5.6</v>
      </c>
      <c r="I64" s="21"/>
      <c r="J64" s="22"/>
    </row>
    <row r="65" spans="1:10" ht="13.2" x14ac:dyDescent="0.25">
      <c r="A65" s="17"/>
      <c r="B65" s="28">
        <v>5</v>
      </c>
      <c r="C65" s="29"/>
      <c r="D65" s="44"/>
      <c r="E65" s="51"/>
      <c r="F65" s="51"/>
      <c r="G65" s="51"/>
      <c r="H65" s="52">
        <f ca="1">IFERROR(__xludf.DUMMYFUNCTION("MAX(IF(REGEXMATCH(E65,""^\d{1},\d{2}$""),VALUE(E65),0),IF(REGEXMATCH(F65,""^\d{1},\d{2}$""),VALUE(F65),0),IF(REGEXMATCH(G65,""^\d{1},\d{2}$""),VALUE(G65),0))"),0)</f>
        <v>0</v>
      </c>
      <c r="I65" s="21"/>
      <c r="J65" s="22"/>
    </row>
    <row r="66" spans="1:10" ht="13.2" x14ac:dyDescent="0.25">
      <c r="A66" s="17"/>
      <c r="B66" s="53" t="s">
        <v>22</v>
      </c>
      <c r="C66" s="36"/>
      <c r="D66" s="37" t="s">
        <v>177</v>
      </c>
      <c r="E66" s="38"/>
      <c r="F66" s="38"/>
      <c r="G66" s="38"/>
      <c r="H66" s="55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5.6" x14ac:dyDescent="0.25">
      <c r="A68" s="23">
        <v>9</v>
      </c>
      <c r="B68" s="72" t="s">
        <v>58</v>
      </c>
      <c r="C68" s="73"/>
      <c r="D68" s="73"/>
      <c r="E68" s="73"/>
      <c r="F68" s="73"/>
      <c r="G68" s="73"/>
      <c r="H68" s="50"/>
      <c r="I68" s="25">
        <f ca="1">IF(COUNTIFS(H69:H73,"&gt;0") &gt; 3, FLOOR((SUM(H69:H73)-MIN(H69,H70,H71,H72,H73))/4,0.0001), )</f>
        <v>4.3475000000000001</v>
      </c>
      <c r="J68" s="26">
        <f ca="1">IF(I68=0,"",RANK(I68,$I$4:$I$75,))</f>
        <v>8</v>
      </c>
    </row>
    <row r="69" spans="1:10" ht="13.2" x14ac:dyDescent="0.25">
      <c r="A69" s="17"/>
      <c r="B69" s="28">
        <v>1</v>
      </c>
      <c r="C69" s="29" t="s">
        <v>178</v>
      </c>
      <c r="D69" s="44" t="s">
        <v>18</v>
      </c>
      <c r="E69" s="51" t="s">
        <v>161</v>
      </c>
      <c r="F69" s="51" t="s">
        <v>78</v>
      </c>
      <c r="G69" s="51" t="s">
        <v>127</v>
      </c>
      <c r="H69" s="52">
        <f ca="1">IFERROR(__xludf.DUMMYFUNCTION("MAX(IF(REGEXMATCH(E69,""^\d{1},\d{2}$""),VALUE(E69),0),IF(REGEXMATCH(F69,""^\d{1},\d{2}$""),VALUE(F69),0),IF(REGEXMATCH(G69,""^\d{1},\d{2}$""),VALUE(G69),0))"),4.97)</f>
        <v>4.97</v>
      </c>
      <c r="I69" s="21"/>
      <c r="J69" s="22"/>
    </row>
    <row r="70" spans="1:10" ht="13.2" x14ac:dyDescent="0.25">
      <c r="A70" s="17"/>
      <c r="B70" s="28">
        <v>2</v>
      </c>
      <c r="C70" s="29" t="s">
        <v>60</v>
      </c>
      <c r="D70" s="44" t="s">
        <v>18</v>
      </c>
      <c r="E70" s="51" t="s">
        <v>179</v>
      </c>
      <c r="F70" s="51" t="s">
        <v>78</v>
      </c>
      <c r="G70" s="51" t="s">
        <v>180</v>
      </c>
      <c r="H70" s="52">
        <f ca="1">IFERROR(__xludf.DUMMYFUNCTION("MAX(IF(REGEXMATCH(E70,""^\d{1},\d{2}$""),VALUE(E70),0),IF(REGEXMATCH(F70,""^\d{1},\d{2}$""),VALUE(F70),0),IF(REGEXMATCH(G70,""^\d{1},\d{2}$""),VALUE(G70),0))"),4.12)</f>
        <v>4.12</v>
      </c>
      <c r="I70" s="21"/>
      <c r="J70" s="22"/>
    </row>
    <row r="71" spans="1:10" ht="13.2" x14ac:dyDescent="0.25">
      <c r="A71" s="17"/>
      <c r="B71" s="28">
        <v>3</v>
      </c>
      <c r="C71" s="29" t="s">
        <v>181</v>
      </c>
      <c r="D71" s="44" t="s">
        <v>26</v>
      </c>
      <c r="E71" s="51" t="s">
        <v>182</v>
      </c>
      <c r="F71" s="51" t="s">
        <v>78</v>
      </c>
      <c r="G71" s="51" t="s">
        <v>78</v>
      </c>
      <c r="H71" s="52">
        <f ca="1">IFERROR(__xludf.DUMMYFUNCTION("MAX(IF(REGEXMATCH(E71,""^\d{1},\d{2}$""),VALUE(E71),0),IF(REGEXMATCH(F71,""^\d{1},\d{2}$""),VALUE(F71),0),IF(REGEXMATCH(G71,""^\d{1},\d{2}$""),VALUE(G71),0))"),3.5)</f>
        <v>3.5</v>
      </c>
      <c r="I71" s="21"/>
      <c r="J71" s="22"/>
    </row>
    <row r="72" spans="1:10" ht="13.2" x14ac:dyDescent="0.25">
      <c r="A72" s="17"/>
      <c r="B72" s="28">
        <v>4</v>
      </c>
      <c r="C72" s="29" t="s">
        <v>183</v>
      </c>
      <c r="D72" s="44" t="s">
        <v>18</v>
      </c>
      <c r="E72" s="51" t="s">
        <v>184</v>
      </c>
      <c r="F72" s="51" t="s">
        <v>124</v>
      </c>
      <c r="G72" s="51" t="s">
        <v>185</v>
      </c>
      <c r="H72" s="52">
        <f ca="1">IFERROR(__xludf.DUMMYFUNCTION("MAX(IF(REGEXMATCH(E72,""^\d{1},\d{2}$""),VALUE(E72),0),IF(REGEXMATCH(F72,""^\d{1},\d{2}$""),VALUE(F72),0),IF(REGEXMATCH(G72,""^\d{1},\d{2}$""),VALUE(G72),0))"),4.8)</f>
        <v>4.8</v>
      </c>
      <c r="I72" s="21"/>
      <c r="J72" s="22"/>
    </row>
    <row r="73" spans="1:10" ht="13.2" x14ac:dyDescent="0.25">
      <c r="A73" s="17"/>
      <c r="B73" s="28">
        <v>5</v>
      </c>
      <c r="C73" s="29"/>
      <c r="D73" s="44"/>
      <c r="E73" s="51"/>
      <c r="F73" s="51"/>
      <c r="G73" s="51"/>
      <c r="H73" s="52">
        <f ca="1">IFERROR(__xludf.DUMMYFUNCTION("MAX(IF(REGEXMATCH(E73,""^\d{1},\d{2}$""),VALUE(E73),0),IF(REGEXMATCH(F73,""^\d{1},\d{2}$""),VALUE(F73),0),IF(REGEXMATCH(G73,""^\d{1},\d{2}$""),VALUE(G73),0))"),0)</f>
        <v>0</v>
      </c>
      <c r="I73" s="21"/>
      <c r="J73" s="22"/>
    </row>
    <row r="74" spans="1:10" ht="13.2" x14ac:dyDescent="0.25">
      <c r="A74" s="17"/>
      <c r="B74" s="53" t="s">
        <v>22</v>
      </c>
      <c r="C74" s="36"/>
      <c r="D74" s="37" t="s">
        <v>63</v>
      </c>
      <c r="E74" s="38"/>
      <c r="F74" s="38"/>
      <c r="G74" s="38"/>
      <c r="H74" s="55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49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49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49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49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49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49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49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49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49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49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49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49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49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49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49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49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49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49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49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49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49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49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49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49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49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49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49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49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49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49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49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49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49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49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49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49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49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49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49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49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49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49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49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49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49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49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49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49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49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49"/>
      <c r="I787" s="21"/>
      <c r="J787" s="22"/>
    </row>
  </sheetData>
  <mergeCells count="9">
    <mergeCell ref="B44:G44"/>
    <mergeCell ref="B52:G52"/>
    <mergeCell ref="B60:G60"/>
    <mergeCell ref="B68:G68"/>
    <mergeCell ref="B4:G4"/>
    <mergeCell ref="B12:G12"/>
    <mergeCell ref="B20:G20"/>
    <mergeCell ref="B28:G28"/>
    <mergeCell ref="B36:G36"/>
  </mergeCells>
  <conditionalFormatting sqref="L13">
    <cfRule type="notContainsBlanks" dxfId="8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 D37:D41 D45:D49 D53:D57 D61:D65 D69:D73" xr:uid="{00000000-0002-0000-0100-000000000000}">
      <formula1>OR(D5 = "2006", D5="2007",  D5="2008", D5="2009", D5="2010", D5="2011")</formula1>
    </dataValidation>
    <dataValidation type="custom" allowBlank="1" showDropDown="1" showInputMessage="1" showErrorMessage="1" prompt="Csak egy 1,23 formátumú szám, vagy a -, x, X jelek lehetnek ebben a cellában!" sqref="E5:G9 E13:G17 E21:G25 E29:G33 E37:G41 E45:G49 E53:G57 E61:G65 E69:G73" xr:uid="{00000000-0002-0000-0100-000001000000}">
      <formula1>REGEXMATCH(E5,"^\d{1,1},\d{2}$|^x$|^X$|^-$")</formula1>
    </dataValidation>
  </dataValidations>
  <printOptions horizontalCentered="1" gridLines="1"/>
  <pageMargins left="0.7" right="0.7" top="0.75" bottom="0.75" header="0" footer="0"/>
  <pageSetup paperSize="9" pageOrder="overThenDown" orientation="landscape" cellComments="atEnd"/>
  <headerFooter>
    <oddHeader>&amp;L&amp;F&amp;C2025/2026. TANÉVI ATLÉTIKA ÜCSB DIÁKOLIMPIA&amp;RVÁRMEGYEI JEGYZŐKÖNYV</oddHeader>
    <oddFooter>&amp;R&amp;P</oddFooter>
  </headerFooter>
  <rowBreaks count="2" manualBreakCount="2">
    <brk id="51" man="1"/>
    <brk id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73763"/>
    <outlinePr summaryBelow="0" summaryRight="0"/>
  </sheetPr>
  <dimension ref="A1:AA885"/>
  <sheetViews>
    <sheetView workbookViewId="0">
      <pane ySplit="3" topLeftCell="A4" activePane="bottomLeft" state="frozen"/>
      <selection pane="bottomLeft" activeCell="A68" sqref="A68:XFD206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186</v>
      </c>
      <c r="B1" s="2"/>
      <c r="C1" s="3"/>
      <c r="D1" s="4"/>
      <c r="E1" s="5"/>
      <c r="F1" s="5"/>
      <c r="G1" s="5"/>
      <c r="H1" s="46"/>
      <c r="I1" s="47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187</v>
      </c>
      <c r="C4" s="73"/>
      <c r="D4" s="73"/>
      <c r="E4" s="73"/>
      <c r="F4" s="73"/>
      <c r="G4" s="74"/>
      <c r="H4" s="50"/>
      <c r="I4" s="25">
        <f ca="1">IF(COUNTIFS(H5:H9,"&gt;0") &gt; 3, FLOOR((SUM(H5:H9)-MIN(H5,H6,H7,H8,H9))/4,0.0001), )</f>
        <v>12.157500000000001</v>
      </c>
      <c r="J4" s="26">
        <f ca="1">IF(I4=0,"",RANK(I4,$I$4:$I$85,))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188</v>
      </c>
      <c r="D5" s="30" t="s">
        <v>32</v>
      </c>
      <c r="E5" s="51" t="s">
        <v>189</v>
      </c>
      <c r="F5" s="51" t="s">
        <v>190</v>
      </c>
      <c r="G5" s="51" t="s">
        <v>191</v>
      </c>
      <c r="H5" s="52">
        <f ca="1">IFERROR(__xludf.DUMMYFUNCTION("MAX(IF(REGEXMATCH(E5,""^\d{1,2},\d{2}$""),VALUE(E5),0),IF(REGEXMATCH(F5,""^\d{1,2},\d{2}$""),VALUE(F5),0),IF(REGEXMATCH(G5,""^\d{1,2},\d{2}$""),VALUE(G5),0))"),12.2)</f>
        <v>12.2</v>
      </c>
      <c r="I5" s="21"/>
      <c r="J5" s="22"/>
    </row>
    <row r="6" spans="1:27" ht="18.75" customHeight="1" x14ac:dyDescent="0.25">
      <c r="A6" s="17"/>
      <c r="B6" s="28">
        <v>2</v>
      </c>
      <c r="C6" s="29" t="s">
        <v>192</v>
      </c>
      <c r="D6" s="30" t="s">
        <v>26</v>
      </c>
      <c r="E6" s="51" t="s">
        <v>193</v>
      </c>
      <c r="F6" s="51" t="s">
        <v>194</v>
      </c>
      <c r="G6" s="51" t="s">
        <v>195</v>
      </c>
      <c r="H6" s="52">
        <f ca="1">IFERROR(__xludf.DUMMYFUNCTION("MAX(IF(REGEXMATCH(E6,""^\d{1,2},\d{2}$""),VALUE(E6),0),IF(REGEXMATCH(F6,""^\d{1,2},\d{2}$""),VALUE(F6),0),IF(REGEXMATCH(G6,""^\d{1,2},\d{2}$""),VALUE(G6),0))"),9.91)</f>
        <v>9.91</v>
      </c>
      <c r="I6" s="21"/>
      <c r="J6" s="22"/>
    </row>
    <row r="7" spans="1:27" ht="18.75" customHeight="1" x14ac:dyDescent="0.25">
      <c r="A7" s="17"/>
      <c r="B7" s="28">
        <v>3</v>
      </c>
      <c r="C7" s="29" t="s">
        <v>196</v>
      </c>
      <c r="D7" s="30" t="s">
        <v>10</v>
      </c>
      <c r="E7" s="51" t="s">
        <v>197</v>
      </c>
      <c r="F7" s="51" t="s">
        <v>198</v>
      </c>
      <c r="G7" s="51" t="s">
        <v>199</v>
      </c>
      <c r="H7" s="52">
        <f ca="1">IFERROR(__xludf.DUMMYFUNCTION("MAX(IF(REGEXMATCH(E7,""^\d{1,2},\d{2}$""),VALUE(E7),0),IF(REGEXMATCH(F7,""^\d{1,2},\d{2}$""),VALUE(F7),0),IF(REGEXMATCH(G7,""^\d{1,2},\d{2}$""),VALUE(G7),0))"),11.42)</f>
        <v>11.42</v>
      </c>
      <c r="I7" s="21"/>
      <c r="J7" s="22"/>
    </row>
    <row r="8" spans="1:27" ht="18.75" customHeight="1" x14ac:dyDescent="0.25">
      <c r="A8" s="17"/>
      <c r="B8" s="28">
        <v>4</v>
      </c>
      <c r="C8" s="29" t="s">
        <v>200</v>
      </c>
      <c r="D8" s="30" t="s">
        <v>10</v>
      </c>
      <c r="E8" s="51" t="s">
        <v>201</v>
      </c>
      <c r="F8" s="51" t="s">
        <v>202</v>
      </c>
      <c r="G8" s="51" t="s">
        <v>203</v>
      </c>
      <c r="H8" s="52">
        <f ca="1">IFERROR(__xludf.DUMMYFUNCTION("MAX(IF(REGEXMATCH(E8,""^\d{1,2},\d{2}$""),VALUE(E8),0),IF(REGEXMATCH(F8,""^\d{1,2},\d{2}$""),VALUE(F8),0),IF(REGEXMATCH(G8,""^\d{1,2},\d{2}$""),VALUE(G8),0))"),15.1)</f>
        <v>15.1</v>
      </c>
      <c r="I8" s="21"/>
      <c r="J8" s="22"/>
    </row>
    <row r="9" spans="1:27" ht="18.75" customHeight="1" x14ac:dyDescent="0.25">
      <c r="A9" s="17"/>
      <c r="B9" s="28">
        <v>5</v>
      </c>
      <c r="C9" s="29"/>
      <c r="D9" s="30"/>
      <c r="E9" s="51"/>
      <c r="F9" s="51"/>
      <c r="G9" s="51"/>
      <c r="H9" s="52">
        <f ca="1">IFERROR(__xludf.DUMMYFUNCTION("MAX(IF(REGEXMATCH(E9,""^\d{1,2},\d{2}$""),VALUE(E9),0),IF(REGEXMATCH(F9,""^\d{1,2},\d{2}$""),VALUE(F9),0),IF(REGEXMATCH(G9,""^\d{1,2},\d{2}$""),VALUE(G9),0))"),0)</f>
        <v>0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204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35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9.6275000000000013</v>
      </c>
      <c r="J12" s="26">
        <f ca="1">IF(I12=0,"",RANK(I12,$I$4:$I$85,))</f>
        <v>2</v>
      </c>
    </row>
    <row r="13" spans="1:27" ht="18.75" customHeight="1" x14ac:dyDescent="0.25">
      <c r="A13" s="17"/>
      <c r="B13" s="28">
        <v>1</v>
      </c>
      <c r="C13" s="29" t="s">
        <v>205</v>
      </c>
      <c r="D13" s="44" t="s">
        <v>15</v>
      </c>
      <c r="E13" s="51" t="s">
        <v>78</v>
      </c>
      <c r="F13" s="51" t="s">
        <v>206</v>
      </c>
      <c r="G13" s="51" t="s">
        <v>207</v>
      </c>
      <c r="H13" s="52">
        <f ca="1">IFERROR(__xludf.DUMMYFUNCTION("MAX(IF(REGEXMATCH(E13,""^\d{1,2},\d{2}$""),VALUE(E13),0),IF(REGEXMATCH(F13,""^\d{1,2},\d{2}$""),VALUE(F13),0),IF(REGEXMATCH(G13,""^\d{1,2},\d{2}$""),VALUE(G13),0))"),8.43)</f>
        <v>8.43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208</v>
      </c>
      <c r="D14" s="44" t="s">
        <v>10</v>
      </c>
      <c r="E14" s="51" t="s">
        <v>209</v>
      </c>
      <c r="F14" s="51" t="s">
        <v>210</v>
      </c>
      <c r="G14" s="51" t="s">
        <v>211</v>
      </c>
      <c r="H14" s="52">
        <f ca="1">IFERROR(__xludf.DUMMYFUNCTION("MAX(IF(REGEXMATCH(E14,""^\d{1,2},\d{2}$""),VALUE(E14),0),IF(REGEXMATCH(F14,""^\d{1,2},\d{2}$""),VALUE(F14),0),IF(REGEXMATCH(G14,""^\d{1,2},\d{2}$""),VALUE(G14),0))"),9.06)</f>
        <v>9.06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212</v>
      </c>
      <c r="D15" s="44" t="s">
        <v>26</v>
      </c>
      <c r="E15" s="51" t="s">
        <v>78</v>
      </c>
      <c r="F15" s="51" t="s">
        <v>78</v>
      </c>
      <c r="G15" s="51" t="s">
        <v>213</v>
      </c>
      <c r="H15" s="52">
        <f ca="1">IFERROR(__xludf.DUMMYFUNCTION("MAX(IF(REGEXMATCH(E15,""^\d{1,2},\d{2}$""),VALUE(E15),0),IF(REGEXMATCH(F15,""^\d{1,2},\d{2}$""),VALUE(F15),0),IF(REGEXMATCH(G15,""^\d{1,2},\d{2}$""),VALUE(G15),0))"),10.33)</f>
        <v>10.33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214</v>
      </c>
      <c r="D16" s="44" t="s">
        <v>10</v>
      </c>
      <c r="E16" s="51" t="s">
        <v>215</v>
      </c>
      <c r="F16" s="51" t="s">
        <v>216</v>
      </c>
      <c r="G16" s="51" t="s">
        <v>217</v>
      </c>
      <c r="H16" s="52">
        <f ca="1">IFERROR(__xludf.DUMMYFUNCTION("MAX(IF(REGEXMATCH(E16,""^\d{1,2},\d{2}$""),VALUE(E16),0),IF(REGEXMATCH(F16,""^\d{1,2},\d{2}$""),VALUE(F16),0),IF(REGEXMATCH(G16,""^\d{1,2},\d{2}$""),VALUE(G16),0))"),9.66)</f>
        <v>9.66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218</v>
      </c>
      <c r="D17" s="44" t="s">
        <v>32</v>
      </c>
      <c r="E17" s="51" t="s">
        <v>219</v>
      </c>
      <c r="F17" s="51" t="s">
        <v>220</v>
      </c>
      <c r="G17" s="51" t="s">
        <v>221</v>
      </c>
      <c r="H17" s="52">
        <f ca="1">IFERROR(__xludf.DUMMYFUNCTION("MAX(IF(REGEXMATCH(E17,""^\d{1,2},\d{2}$""),VALUE(E17),0),IF(REGEXMATCH(F17,""^\d{1,2},\d{2}$""),VALUE(F17),0),IF(REGEXMATCH(G17,""^\d{1,2},\d{2}$""),VALUE(G17),0))"),9.46)</f>
        <v>9.4600000000000009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45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58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9.5325000000000006</v>
      </c>
      <c r="J20" s="26">
        <f ca="1">IF(I20=0,"",RANK(I20,$I$4:$I$85,))</f>
        <v>3</v>
      </c>
    </row>
    <row r="21" spans="1:10" ht="13.2" x14ac:dyDescent="0.25">
      <c r="A21" s="17"/>
      <c r="B21" s="28">
        <v>1</v>
      </c>
      <c r="C21" s="29" t="s">
        <v>222</v>
      </c>
      <c r="D21" s="44" t="s">
        <v>10</v>
      </c>
      <c r="E21" s="51" t="s">
        <v>223</v>
      </c>
      <c r="F21" s="51" t="s">
        <v>224</v>
      </c>
      <c r="G21" s="51" t="s">
        <v>225</v>
      </c>
      <c r="H21" s="52">
        <f ca="1">IFERROR(__xludf.DUMMYFUNCTION("MAX(IF(REGEXMATCH(E21,""^\d{1,2},\d{2}$""),VALUE(E21),0),IF(REGEXMATCH(F21,""^\d{1,2},\d{2}$""),VALUE(F21),0),IF(REGEXMATCH(G21,""^\d{1,2},\d{2}$""),VALUE(G21),0))"),10.16)</f>
        <v>10.16</v>
      </c>
      <c r="I21" s="21"/>
      <c r="J21" s="22"/>
    </row>
    <row r="22" spans="1:10" ht="13.2" x14ac:dyDescent="0.25">
      <c r="A22" s="17"/>
      <c r="B22" s="28">
        <v>2</v>
      </c>
      <c r="C22" s="29" t="s">
        <v>226</v>
      </c>
      <c r="D22" s="44" t="s">
        <v>10</v>
      </c>
      <c r="E22" s="51" t="s">
        <v>227</v>
      </c>
      <c r="F22" s="51" t="s">
        <v>228</v>
      </c>
      <c r="G22" s="51" t="s">
        <v>229</v>
      </c>
      <c r="H22" s="52">
        <f ca="1">IFERROR(__xludf.DUMMYFUNCTION("MAX(IF(REGEXMATCH(E22,""^\d{1,2},\d{2}$""),VALUE(E22),0),IF(REGEXMATCH(F22,""^\d{1,2},\d{2}$""),VALUE(F22),0),IF(REGEXMATCH(G22,""^\d{1,2},\d{2}$""),VALUE(G22),0))"),9.53)</f>
        <v>9.5299999999999994</v>
      </c>
      <c r="I22" s="21"/>
      <c r="J22" s="22"/>
    </row>
    <row r="23" spans="1:10" ht="13.2" x14ac:dyDescent="0.25">
      <c r="A23" s="17"/>
      <c r="B23" s="28">
        <v>3</v>
      </c>
      <c r="C23" s="29" t="s">
        <v>230</v>
      </c>
      <c r="D23" s="44" t="s">
        <v>32</v>
      </c>
      <c r="E23" s="51" t="s">
        <v>207</v>
      </c>
      <c r="F23" s="51" t="s">
        <v>211</v>
      </c>
      <c r="G23" s="51" t="s">
        <v>231</v>
      </c>
      <c r="H23" s="52">
        <f ca="1">IFERROR(__xludf.DUMMYFUNCTION("MAX(IF(REGEXMATCH(E23,""^\d{1,2},\d{2}$""),VALUE(E23),0),IF(REGEXMATCH(F23,""^\d{1,2},\d{2}$""),VALUE(F23),0),IF(REGEXMATCH(G23,""^\d{1,2},\d{2}$""),VALUE(G23),0))"),9.41)</f>
        <v>9.41</v>
      </c>
      <c r="I23" s="21"/>
      <c r="J23" s="22"/>
    </row>
    <row r="24" spans="1:10" ht="13.2" x14ac:dyDescent="0.25">
      <c r="A24" s="17"/>
      <c r="B24" s="28">
        <v>4</v>
      </c>
      <c r="C24" s="29" t="s">
        <v>232</v>
      </c>
      <c r="D24" s="44" t="s">
        <v>32</v>
      </c>
      <c r="E24" s="51" t="s">
        <v>233</v>
      </c>
      <c r="F24" s="51" t="s">
        <v>234</v>
      </c>
      <c r="G24" s="51" t="s">
        <v>235</v>
      </c>
      <c r="H24" s="52">
        <f ca="1">IFERROR(__xludf.DUMMYFUNCTION("MAX(IF(REGEXMATCH(E24,""^\d{1,2},\d{2}$""),VALUE(E24),0),IF(REGEXMATCH(F24,""^\d{1,2},\d{2}$""),VALUE(F24),0),IF(REGEXMATCH(G24,""^\d{1,2},\d{2}$""),VALUE(G24),0))"),7.86)</f>
        <v>7.86</v>
      </c>
      <c r="I24" s="21"/>
      <c r="J24" s="22"/>
    </row>
    <row r="25" spans="1:10" ht="13.2" x14ac:dyDescent="0.25">
      <c r="A25" s="17"/>
      <c r="B25" s="28">
        <v>5</v>
      </c>
      <c r="C25" s="29" t="s">
        <v>236</v>
      </c>
      <c r="D25" s="44" t="s">
        <v>15</v>
      </c>
      <c r="E25" s="51" t="s">
        <v>237</v>
      </c>
      <c r="F25" s="51" t="s">
        <v>238</v>
      </c>
      <c r="G25" s="51" t="s">
        <v>78</v>
      </c>
      <c r="H25" s="52">
        <f ca="1">IFERROR(__xludf.DUMMYFUNCTION("MAX(IF(REGEXMATCH(E25,""^\d{1,2},\d{2}$""),VALUE(E25),0),IF(REGEXMATCH(F25,""^\d{1,2},\d{2}$""),VALUE(F25),0),IF(REGEXMATCH(G25,""^\d{1,2},\d{2}$""),VALUE(G25),0))"),9.03)</f>
        <v>9.0299999999999994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63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8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9.2025000000000006</v>
      </c>
      <c r="J28" s="26">
        <f ca="1">IF(I28=0,"",RANK(I28,$I$4:$I$85,))</f>
        <v>4</v>
      </c>
    </row>
    <row r="29" spans="1:10" ht="13.2" x14ac:dyDescent="0.25">
      <c r="A29" s="17"/>
      <c r="B29" s="28">
        <v>1</v>
      </c>
      <c r="C29" s="29" t="s">
        <v>239</v>
      </c>
      <c r="D29" s="44" t="s">
        <v>10</v>
      </c>
      <c r="E29" s="51" t="s">
        <v>240</v>
      </c>
      <c r="F29" s="51" t="s">
        <v>241</v>
      </c>
      <c r="G29" s="51" t="s">
        <v>215</v>
      </c>
      <c r="H29" s="52">
        <f ca="1">IFERROR(__xludf.DUMMYFUNCTION("MAX(IF(REGEXMATCH(E29,""^\d{1,2},\d{2}$""),VALUE(E29),0),IF(REGEXMATCH(F29,""^\d{1,2},\d{2}$""),VALUE(F29),0),IF(REGEXMATCH(G29,""^\d{1,2},\d{2}$""),VALUE(G29),0))"),9.57)</f>
        <v>9.57</v>
      </c>
      <c r="I29" s="21"/>
      <c r="J29" s="22"/>
    </row>
    <row r="30" spans="1:10" ht="13.2" x14ac:dyDescent="0.25">
      <c r="A30" s="17"/>
      <c r="B30" s="28">
        <v>2</v>
      </c>
      <c r="C30" s="29" t="s">
        <v>242</v>
      </c>
      <c r="D30" s="44" t="s">
        <v>26</v>
      </c>
      <c r="E30" s="51" t="s">
        <v>243</v>
      </c>
      <c r="F30" s="51" t="s">
        <v>244</v>
      </c>
      <c r="G30" s="51" t="s">
        <v>245</v>
      </c>
      <c r="H30" s="52">
        <f ca="1">IFERROR(__xludf.DUMMYFUNCTION("MAX(IF(REGEXMATCH(E30,""^\d{1,2},\d{2}$""),VALUE(E30),0),IF(REGEXMATCH(F30,""^\d{1,2},\d{2}$""),VALUE(F30),0),IF(REGEXMATCH(G30,""^\d{1,2},\d{2}$""),VALUE(G30),0))"),9.85)</f>
        <v>9.85</v>
      </c>
      <c r="I30" s="21"/>
      <c r="J30" s="22"/>
    </row>
    <row r="31" spans="1:10" ht="13.2" x14ac:dyDescent="0.25">
      <c r="A31" s="17"/>
      <c r="B31" s="28">
        <v>3</v>
      </c>
      <c r="C31" s="29" t="s">
        <v>246</v>
      </c>
      <c r="D31" s="44" t="s">
        <v>26</v>
      </c>
      <c r="E31" s="51" t="s">
        <v>78</v>
      </c>
      <c r="F31" s="51" t="s">
        <v>247</v>
      </c>
      <c r="G31" s="51" t="s">
        <v>248</v>
      </c>
      <c r="H31" s="52">
        <f ca="1">IFERROR(__xludf.DUMMYFUNCTION("MAX(IF(REGEXMATCH(E31,""^\d{1,2},\d{2}$""),VALUE(E31),0),IF(REGEXMATCH(F31,""^\d{1,2},\d{2}$""),VALUE(F31),0),IF(REGEXMATCH(G31,""^\d{1,2},\d{2}$""),VALUE(G31),0))"),7.87)</f>
        <v>7.87</v>
      </c>
      <c r="I31" s="21"/>
      <c r="J31" s="22"/>
    </row>
    <row r="32" spans="1:10" ht="13.2" x14ac:dyDescent="0.25">
      <c r="A32" s="17"/>
      <c r="B32" s="28">
        <v>4</v>
      </c>
      <c r="C32" s="29" t="s">
        <v>162</v>
      </c>
      <c r="D32" s="44" t="s">
        <v>10</v>
      </c>
      <c r="E32" s="51" t="s">
        <v>249</v>
      </c>
      <c r="F32" s="51" t="s">
        <v>250</v>
      </c>
      <c r="G32" s="51" t="s">
        <v>251</v>
      </c>
      <c r="H32" s="52">
        <f ca="1">IFERROR(__xludf.DUMMYFUNCTION("MAX(IF(REGEXMATCH(E32,""^\d{1,2},\d{2}$""),VALUE(E32),0),IF(REGEXMATCH(F32,""^\d{1,2},\d{2}$""),VALUE(F32),0),IF(REGEXMATCH(G32,""^\d{1,2},\d{2}$""),VALUE(G32),0))"),7.81)</f>
        <v>7.81</v>
      </c>
      <c r="I32" s="21"/>
      <c r="J32" s="22"/>
    </row>
    <row r="33" spans="1:10" ht="13.2" x14ac:dyDescent="0.25">
      <c r="A33" s="17"/>
      <c r="B33" s="28">
        <v>5</v>
      </c>
      <c r="C33" s="29" t="s">
        <v>252</v>
      </c>
      <c r="D33" s="44" t="s">
        <v>32</v>
      </c>
      <c r="E33" s="51" t="s">
        <v>253</v>
      </c>
      <c r="F33" s="51" t="s">
        <v>254</v>
      </c>
      <c r="G33" s="51" t="s">
        <v>255</v>
      </c>
      <c r="H33" s="52">
        <f ca="1">IFERROR(__xludf.DUMMYFUNCTION("MAX(IF(REGEXMATCH(E33,""^\d{1,2},\d{2}$""),VALUE(E33),0),IF(REGEXMATCH(F33,""^\d{1,2},\d{2}$""),VALUE(F33),0),IF(REGEXMATCH(G33,""^\d{1,2},\d{2}$""),VALUE(G33),0))"),9.52)</f>
        <v>9.52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23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5.6" x14ac:dyDescent="0.25">
      <c r="A36" s="23">
        <v>5</v>
      </c>
      <c r="B36" s="72" t="s">
        <v>51</v>
      </c>
      <c r="C36" s="73"/>
      <c r="D36" s="73"/>
      <c r="E36" s="73"/>
      <c r="F36" s="73"/>
      <c r="G36" s="74"/>
      <c r="H36" s="50"/>
      <c r="I36" s="25">
        <f ca="1">IF(COUNTIFS(H37:H41,"&gt;0") &gt; 3, FLOOR((SUM(H37:H41)-MIN(H37,H38,H39,H40,H41))/4,0.0001), )</f>
        <v>8.99</v>
      </c>
      <c r="J36" s="26">
        <f ca="1">IF(I36=0,"",RANK(I36,$I$4:$I$85,))</f>
        <v>5</v>
      </c>
    </row>
    <row r="37" spans="1:10" ht="13.2" x14ac:dyDescent="0.25">
      <c r="A37" s="17"/>
      <c r="B37" s="28">
        <v>1</v>
      </c>
      <c r="C37" s="29" t="s">
        <v>256</v>
      </c>
      <c r="D37" s="44" t="s">
        <v>26</v>
      </c>
      <c r="E37" s="51" t="s">
        <v>250</v>
      </c>
      <c r="F37" s="51" t="s">
        <v>257</v>
      </c>
      <c r="G37" s="51" t="s">
        <v>258</v>
      </c>
      <c r="H37" s="52">
        <f ca="1">IFERROR(__xludf.DUMMYFUNCTION("MAX(IF(REGEXMATCH(E37,""^\d{1,2},\d{2}$""),VALUE(E37),0),IF(REGEXMATCH(F37,""^\d{1,2},\d{2}$""),VALUE(F37),0),IF(REGEXMATCH(G37,""^\d{1,2},\d{2}$""),VALUE(G37),0))"),8.61)</f>
        <v>8.61</v>
      </c>
      <c r="I37" s="21"/>
      <c r="J37" s="22"/>
    </row>
    <row r="38" spans="1:10" ht="13.2" x14ac:dyDescent="0.25">
      <c r="A38" s="17"/>
      <c r="B38" s="28">
        <v>2</v>
      </c>
      <c r="C38" s="29" t="s">
        <v>259</v>
      </c>
      <c r="D38" s="44" t="s">
        <v>18</v>
      </c>
      <c r="E38" s="51" t="s">
        <v>260</v>
      </c>
      <c r="F38" s="51" t="s">
        <v>220</v>
      </c>
      <c r="G38" s="51" t="s">
        <v>261</v>
      </c>
      <c r="H38" s="52">
        <f ca="1">IFERROR(__xludf.DUMMYFUNCTION("MAX(IF(REGEXMATCH(E38,""^\d{1,2},\d{2}$""),VALUE(E38),0),IF(REGEXMATCH(F38,""^\d{1,2},\d{2}$""),VALUE(F38),0),IF(REGEXMATCH(G38,""^\d{1,2},\d{2}$""),VALUE(G38),0))"),9.46)</f>
        <v>9.4600000000000009</v>
      </c>
      <c r="I38" s="21"/>
      <c r="J38" s="22"/>
    </row>
    <row r="39" spans="1:10" ht="13.2" x14ac:dyDescent="0.25">
      <c r="A39" s="17"/>
      <c r="B39" s="28">
        <v>3</v>
      </c>
      <c r="C39" s="29" t="s">
        <v>262</v>
      </c>
      <c r="D39" s="44" t="s">
        <v>18</v>
      </c>
      <c r="E39" s="51" t="s">
        <v>263</v>
      </c>
      <c r="F39" s="51" t="s">
        <v>264</v>
      </c>
      <c r="G39" s="51" t="s">
        <v>209</v>
      </c>
      <c r="H39" s="52">
        <f ca="1">IFERROR(__xludf.DUMMYFUNCTION("MAX(IF(REGEXMATCH(E39,""^\d{1,2},\d{2}$""),VALUE(E39),0),IF(REGEXMATCH(F39,""^\d{1,2},\d{2}$""),VALUE(F39),0),IF(REGEXMATCH(G39,""^\d{1,2},\d{2}$""),VALUE(G39),0))"),8.37)</f>
        <v>8.3699999999999992</v>
      </c>
      <c r="I39" s="21"/>
      <c r="J39" s="22"/>
    </row>
    <row r="40" spans="1:10" ht="13.2" x14ac:dyDescent="0.25">
      <c r="A40" s="17"/>
      <c r="B40" s="28">
        <v>4</v>
      </c>
      <c r="C40" s="29" t="s">
        <v>265</v>
      </c>
      <c r="D40" s="44" t="s">
        <v>18</v>
      </c>
      <c r="E40" s="51" t="s">
        <v>249</v>
      </c>
      <c r="F40" s="51" t="s">
        <v>266</v>
      </c>
      <c r="G40" s="51" t="s">
        <v>267</v>
      </c>
      <c r="H40" s="52">
        <f ca="1">IFERROR(__xludf.DUMMYFUNCTION("MAX(IF(REGEXMATCH(E40,""^\d{1,2},\d{2}$""),VALUE(E40),0),IF(REGEXMATCH(F40,""^\d{1,2},\d{2}$""),VALUE(F40),0),IF(REGEXMATCH(G40,""^\d{1,2},\d{2}$""),VALUE(G40),0))"),8.08)</f>
        <v>8.08</v>
      </c>
      <c r="I40" s="21"/>
      <c r="J40" s="22"/>
    </row>
    <row r="41" spans="1:10" ht="13.2" x14ac:dyDescent="0.25">
      <c r="A41" s="17"/>
      <c r="B41" s="28">
        <v>5</v>
      </c>
      <c r="C41" s="29" t="s">
        <v>268</v>
      </c>
      <c r="D41" s="44" t="s">
        <v>18</v>
      </c>
      <c r="E41" s="51" t="s">
        <v>269</v>
      </c>
      <c r="F41" s="51" t="s">
        <v>253</v>
      </c>
      <c r="G41" s="51" t="s">
        <v>270</v>
      </c>
      <c r="H41" s="52">
        <f ca="1">IFERROR(__xludf.DUMMYFUNCTION("MAX(IF(REGEXMATCH(E41,""^\d{1,2},\d{2}$""),VALUE(E41),0),IF(REGEXMATCH(F41,""^\d{1,2},\d{2}$""),VALUE(F41),0),IF(REGEXMATCH(G41,""^\d{1,2},\d{2}$""),VALUE(G41),0))"),9.52)</f>
        <v>9.52</v>
      </c>
      <c r="I41" s="21"/>
      <c r="J41" s="22"/>
    </row>
    <row r="42" spans="1:10" ht="13.2" x14ac:dyDescent="0.25">
      <c r="A42" s="17"/>
      <c r="B42" s="53" t="s">
        <v>22</v>
      </c>
      <c r="C42" s="36"/>
      <c r="D42" s="37" t="s">
        <v>57</v>
      </c>
      <c r="E42" s="38"/>
      <c r="F42" s="38"/>
      <c r="G42" s="38"/>
      <c r="H42" s="55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5.6" x14ac:dyDescent="0.25">
      <c r="A44" s="23">
        <v>6</v>
      </c>
      <c r="B44" s="72" t="s">
        <v>271</v>
      </c>
      <c r="C44" s="73"/>
      <c r="D44" s="73"/>
      <c r="E44" s="73"/>
      <c r="F44" s="73"/>
      <c r="G44" s="73"/>
      <c r="H44" s="50"/>
      <c r="I44" s="25">
        <f ca="1">IF(COUNTIFS(H45:H49,"&gt;0") &gt; 3, FLOOR((SUM(H45:H49)-MIN(H45,H46,H47,H48,H49))/4,0.0001), )</f>
        <v>8.85</v>
      </c>
      <c r="J44" s="26">
        <f ca="1">IF(I44=0,"",RANK(I44,$I$4:$I$85,))</f>
        <v>6</v>
      </c>
    </row>
    <row r="45" spans="1:10" ht="13.2" x14ac:dyDescent="0.25">
      <c r="A45" s="17"/>
      <c r="B45" s="28">
        <v>1</v>
      </c>
      <c r="C45" s="29" t="s">
        <v>272</v>
      </c>
      <c r="D45" s="44" t="s">
        <v>26</v>
      </c>
      <c r="E45" s="51" t="s">
        <v>273</v>
      </c>
      <c r="F45" s="51" t="s">
        <v>274</v>
      </c>
      <c r="G45" s="51" t="s">
        <v>275</v>
      </c>
      <c r="H45" s="52">
        <f ca="1">IFERROR(__xludf.DUMMYFUNCTION("MAX(IF(REGEXMATCH(E45,""^\d{1,2},\d{2}$""),VALUE(E45),0),IF(REGEXMATCH(F45,""^\d{1,2},\d{2}$""),VALUE(F45),0),IF(REGEXMATCH(G45,""^\d{1,2},\d{2}$""),VALUE(G45),0))"),8.41)</f>
        <v>8.41</v>
      </c>
      <c r="I45" s="21"/>
      <c r="J45" s="22"/>
    </row>
    <row r="46" spans="1:10" ht="13.2" x14ac:dyDescent="0.25">
      <c r="A46" s="17"/>
      <c r="B46" s="28">
        <v>2</v>
      </c>
      <c r="C46" s="29" t="s">
        <v>276</v>
      </c>
      <c r="D46" s="44" t="s">
        <v>18</v>
      </c>
      <c r="E46" s="51" t="s">
        <v>277</v>
      </c>
      <c r="F46" s="51" t="s">
        <v>78</v>
      </c>
      <c r="G46" s="51" t="s">
        <v>278</v>
      </c>
      <c r="H46" s="52">
        <f ca="1">IFERROR(__xludf.DUMMYFUNCTION("MAX(IF(REGEXMATCH(E46,""^\d{1,2},\d{2}$""),VALUE(E46),0),IF(REGEXMATCH(F46,""^\d{1,2},\d{2}$""),VALUE(F46),0),IF(REGEXMATCH(G46,""^\d{1,2},\d{2}$""),VALUE(G46),0))"),8.95)</f>
        <v>8.9499999999999993</v>
      </c>
      <c r="I46" s="21"/>
      <c r="J46" s="22"/>
    </row>
    <row r="47" spans="1:10" ht="13.2" x14ac:dyDescent="0.25">
      <c r="A47" s="17"/>
      <c r="B47" s="28">
        <v>3</v>
      </c>
      <c r="C47" s="29" t="s">
        <v>279</v>
      </c>
      <c r="D47" s="44" t="s">
        <v>10</v>
      </c>
      <c r="E47" s="51" t="s">
        <v>78</v>
      </c>
      <c r="F47" s="51" t="s">
        <v>280</v>
      </c>
      <c r="G47" s="51" t="s">
        <v>281</v>
      </c>
      <c r="H47" s="52">
        <f ca="1">IFERROR(__xludf.DUMMYFUNCTION("MAX(IF(REGEXMATCH(E47,""^\d{1,2},\d{2}$""),VALUE(E47),0),IF(REGEXMATCH(F47,""^\d{1,2},\d{2}$""),VALUE(F47),0),IF(REGEXMATCH(G47,""^\d{1,2},\d{2}$""),VALUE(G47),0))"),8.79)</f>
        <v>8.7899999999999991</v>
      </c>
      <c r="I47" s="21"/>
      <c r="J47" s="22"/>
    </row>
    <row r="48" spans="1:10" ht="13.2" x14ac:dyDescent="0.25">
      <c r="A48" s="17"/>
      <c r="B48" s="28">
        <v>4</v>
      </c>
      <c r="C48" s="29" t="s">
        <v>282</v>
      </c>
      <c r="D48" s="44" t="s">
        <v>18</v>
      </c>
      <c r="E48" s="51" t="s">
        <v>227</v>
      </c>
      <c r="F48" s="51" t="s">
        <v>283</v>
      </c>
      <c r="G48" s="51" t="s">
        <v>284</v>
      </c>
      <c r="H48" s="52">
        <f ca="1">IFERROR(__xludf.DUMMYFUNCTION("MAX(IF(REGEXMATCH(E48,""^\d{1,2},\d{2}$""),VALUE(E48),0),IF(REGEXMATCH(F48,""^\d{1,2},\d{2}$""),VALUE(F48),0),IF(REGEXMATCH(G48,""^\d{1,2},\d{2}$""),VALUE(G48),0))"),9.25)</f>
        <v>9.25</v>
      </c>
      <c r="I48" s="21"/>
      <c r="J48" s="22"/>
    </row>
    <row r="49" spans="1:10" ht="13.2" x14ac:dyDescent="0.25">
      <c r="A49" s="17"/>
      <c r="B49" s="28">
        <v>5</v>
      </c>
      <c r="C49" s="29"/>
      <c r="D49" s="44"/>
      <c r="E49" s="51"/>
      <c r="F49" s="51"/>
      <c r="G49" s="51"/>
      <c r="H49" s="52">
        <f ca="1">IFERROR(__xludf.DUMMYFUNCTION("MAX(IF(REGEXMATCH(E49,""^\d{1,2},\d{2}$""),VALUE(E49),0),IF(REGEXMATCH(F49,""^\d{1,2},\d{2}$""),VALUE(F49),0),IF(REGEXMATCH(G49,""^\d{1,2},\d{2}$""),VALUE(G49),0))"),0)</f>
        <v>0</v>
      </c>
      <c r="I49" s="21"/>
      <c r="J49" s="22"/>
    </row>
    <row r="50" spans="1:10" ht="13.2" x14ac:dyDescent="0.25">
      <c r="A50" s="17"/>
      <c r="B50" s="53" t="s">
        <v>22</v>
      </c>
      <c r="C50" s="36"/>
      <c r="D50" s="37" t="s">
        <v>285</v>
      </c>
      <c r="E50" s="38"/>
      <c r="F50" s="38"/>
      <c r="G50" s="38"/>
      <c r="H50" s="55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5.6" x14ac:dyDescent="0.25">
      <c r="A52" s="23">
        <v>7</v>
      </c>
      <c r="B52" s="72" t="s">
        <v>168</v>
      </c>
      <c r="C52" s="73"/>
      <c r="D52" s="73"/>
      <c r="E52" s="73"/>
      <c r="F52" s="73"/>
      <c r="G52" s="73"/>
      <c r="H52" s="50"/>
      <c r="I52" s="25">
        <f ca="1">IF(COUNTIFS(H53:H57,"&gt;0") &gt; 3, FLOOR((SUM(H53:H57)-MIN(H53,H54,H55,H56,H57))/4,0.0001), )</f>
        <v>8.51</v>
      </c>
      <c r="J52" s="26">
        <f ca="1">IF(I52=0,"",RANK(I52,$I$4:$I$85,))</f>
        <v>7</v>
      </c>
    </row>
    <row r="53" spans="1:10" ht="13.2" x14ac:dyDescent="0.25">
      <c r="A53" s="17"/>
      <c r="B53" s="28">
        <v>1</v>
      </c>
      <c r="C53" s="29" t="s">
        <v>286</v>
      </c>
      <c r="D53" s="44" t="s">
        <v>15</v>
      </c>
      <c r="E53" s="51" t="s">
        <v>287</v>
      </c>
      <c r="F53" s="51" t="s">
        <v>288</v>
      </c>
      <c r="G53" s="51" t="s">
        <v>289</v>
      </c>
      <c r="H53" s="52">
        <f ca="1">IFERROR(__xludf.DUMMYFUNCTION("MAX(IF(REGEXMATCH(E53,""^\d{1,2},\d{2}$""),VALUE(E53),0),IF(REGEXMATCH(F53,""^\d{1,2},\d{2}$""),VALUE(F53),0),IF(REGEXMATCH(G53,""^\d{1,2},\d{2}$""),VALUE(G53),0))"),7.44)</f>
        <v>7.44</v>
      </c>
      <c r="I53" s="21"/>
      <c r="J53" s="22"/>
    </row>
    <row r="54" spans="1:10" ht="13.2" x14ac:dyDescent="0.25">
      <c r="A54" s="17"/>
      <c r="B54" s="28">
        <v>2</v>
      </c>
      <c r="C54" s="29" t="s">
        <v>290</v>
      </c>
      <c r="D54" s="44" t="s">
        <v>15</v>
      </c>
      <c r="E54" s="51" t="s">
        <v>291</v>
      </c>
      <c r="F54" s="51" t="s">
        <v>78</v>
      </c>
      <c r="G54" s="51" t="s">
        <v>292</v>
      </c>
      <c r="H54" s="52">
        <f ca="1">IFERROR(__xludf.DUMMYFUNCTION("MAX(IF(REGEXMATCH(E54,""^\d{1,2},\d{2}$""),VALUE(E54),0),IF(REGEXMATCH(F54,""^\d{1,2},\d{2}$""),VALUE(F54),0),IF(REGEXMATCH(G54,""^\d{1,2},\d{2}$""),VALUE(G54),0))"),8.83)</f>
        <v>8.83</v>
      </c>
      <c r="I54" s="21"/>
      <c r="J54" s="22"/>
    </row>
    <row r="55" spans="1:10" ht="13.2" x14ac:dyDescent="0.25">
      <c r="A55" s="17"/>
      <c r="B55" s="28">
        <v>3</v>
      </c>
      <c r="C55" s="29" t="s">
        <v>293</v>
      </c>
      <c r="D55" s="44" t="s">
        <v>10</v>
      </c>
      <c r="E55" s="51" t="s">
        <v>78</v>
      </c>
      <c r="F55" s="51" t="s">
        <v>294</v>
      </c>
      <c r="G55" s="51" t="s">
        <v>295</v>
      </c>
      <c r="H55" s="52">
        <f ca="1">IFERROR(__xludf.DUMMYFUNCTION("MAX(IF(REGEXMATCH(E55,""^\d{1,2},\d{2}$""),VALUE(E55),0),IF(REGEXMATCH(F55,""^\d{1,2},\d{2}$""),VALUE(F55),0),IF(REGEXMATCH(G55,""^\d{1,2},\d{2}$""),VALUE(G55),0))"),9.04)</f>
        <v>9.0399999999999991</v>
      </c>
      <c r="I55" s="21"/>
      <c r="J55" s="22"/>
    </row>
    <row r="56" spans="1:10" ht="13.2" x14ac:dyDescent="0.25">
      <c r="A56" s="17"/>
      <c r="B56" s="28">
        <v>4</v>
      </c>
      <c r="C56" s="29" t="s">
        <v>296</v>
      </c>
      <c r="D56" s="44" t="s">
        <v>10</v>
      </c>
      <c r="E56" s="51" t="s">
        <v>273</v>
      </c>
      <c r="F56" s="51" t="s">
        <v>297</v>
      </c>
      <c r="G56" s="51" t="s">
        <v>292</v>
      </c>
      <c r="H56" s="52">
        <f ca="1">IFERROR(__xludf.DUMMYFUNCTION("MAX(IF(REGEXMATCH(E56,""^\d{1,2},\d{2}$""),VALUE(E56),0),IF(REGEXMATCH(F56,""^\d{1,2},\d{2}$""),VALUE(F56),0),IF(REGEXMATCH(G56,""^\d{1,2},\d{2}$""),VALUE(G56),0))"),8.73)</f>
        <v>8.73</v>
      </c>
      <c r="I56" s="21"/>
      <c r="J56" s="22"/>
    </row>
    <row r="57" spans="1:10" ht="13.2" x14ac:dyDescent="0.25">
      <c r="A57" s="17"/>
      <c r="B57" s="28">
        <v>5</v>
      </c>
      <c r="C57" s="29"/>
      <c r="D57" s="44"/>
      <c r="E57" s="51"/>
      <c r="F57" s="51"/>
      <c r="G57" s="51"/>
      <c r="H57" s="52">
        <f ca="1">IFERROR(__xludf.DUMMYFUNCTION("MAX(IF(REGEXMATCH(E57,""^\d{1,2},\d{2}$""),VALUE(E57),0),IF(REGEXMATCH(F57,""^\d{1,2},\d{2}$""),VALUE(F57),0),IF(REGEXMATCH(G57,""^\d{1,2},\d{2}$""),VALUE(G57),0))"),0)</f>
        <v>0</v>
      </c>
      <c r="I57" s="21"/>
      <c r="J57" s="22"/>
    </row>
    <row r="58" spans="1:10" ht="13.2" x14ac:dyDescent="0.25">
      <c r="A58" s="17"/>
      <c r="B58" s="53" t="s">
        <v>22</v>
      </c>
      <c r="C58" s="36"/>
      <c r="D58" s="37" t="s">
        <v>177</v>
      </c>
      <c r="E58" s="38"/>
      <c r="F58" s="38"/>
      <c r="G58" s="38"/>
      <c r="H58" s="55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5.6" x14ac:dyDescent="0.25">
      <c r="A60" s="23">
        <v>8</v>
      </c>
      <c r="B60" s="72" t="s">
        <v>298</v>
      </c>
      <c r="C60" s="73"/>
      <c r="D60" s="73"/>
      <c r="E60" s="73"/>
      <c r="F60" s="73"/>
      <c r="G60" s="73"/>
      <c r="H60" s="50"/>
      <c r="I60" s="25">
        <f ca="1">IF(COUNTIFS(H61:H65,"&gt;0") &gt; 3, FLOOR((SUM(H61:H65)-MIN(H61,H62,H63,H64,H65))/4,0.0001), )</f>
        <v>8.4500000000000011</v>
      </c>
      <c r="J60" s="26">
        <f ca="1">IF(I60=0,"",RANK(I60,$I$4:$I$85,))</f>
        <v>8</v>
      </c>
    </row>
    <row r="61" spans="1:10" ht="13.2" x14ac:dyDescent="0.25">
      <c r="A61" s="17"/>
      <c r="B61" s="28">
        <v>1</v>
      </c>
      <c r="C61" s="29" t="s">
        <v>299</v>
      </c>
      <c r="D61" s="44" t="s">
        <v>10</v>
      </c>
      <c r="E61" s="51" t="s">
        <v>227</v>
      </c>
      <c r="F61" s="51" t="s">
        <v>300</v>
      </c>
      <c r="G61" s="51" t="s">
        <v>301</v>
      </c>
      <c r="H61" s="52">
        <f ca="1">IFERROR(__xludf.DUMMYFUNCTION("MAX(IF(REGEXMATCH(E61,""^\d{1,2},\d{2}$""),VALUE(E61),0),IF(REGEXMATCH(F61,""^\d{1,2},\d{2}$""),VALUE(F61),0),IF(REGEXMATCH(G61,""^\d{1,2},\d{2}$""),VALUE(G61),0))"),9.44)</f>
        <v>9.44</v>
      </c>
      <c r="I61" s="21"/>
      <c r="J61" s="22"/>
    </row>
    <row r="62" spans="1:10" ht="13.2" x14ac:dyDescent="0.25">
      <c r="A62" s="17"/>
      <c r="B62" s="28">
        <v>2</v>
      </c>
      <c r="C62" s="29" t="s">
        <v>302</v>
      </c>
      <c r="D62" s="44" t="s">
        <v>32</v>
      </c>
      <c r="E62" s="51" t="s">
        <v>273</v>
      </c>
      <c r="F62" s="51" t="s">
        <v>303</v>
      </c>
      <c r="G62" s="51" t="s">
        <v>304</v>
      </c>
      <c r="H62" s="52">
        <f ca="1">IFERROR(__xludf.DUMMYFUNCTION("MAX(IF(REGEXMATCH(E62,""^\d{1,2},\d{2}$""),VALUE(E62),0),IF(REGEXMATCH(F62,""^\d{1,2},\d{2}$""),VALUE(F62),0),IF(REGEXMATCH(G62,""^\d{1,2},\d{2}$""),VALUE(G62),0))"),8.23)</f>
        <v>8.23</v>
      </c>
      <c r="I62" s="21"/>
      <c r="J62" s="22"/>
    </row>
    <row r="63" spans="1:10" ht="13.2" x14ac:dyDescent="0.25">
      <c r="A63" s="17"/>
      <c r="B63" s="28">
        <v>3</v>
      </c>
      <c r="C63" s="29" t="s">
        <v>305</v>
      </c>
      <c r="D63" s="44" t="s">
        <v>10</v>
      </c>
      <c r="E63" s="51" t="s">
        <v>78</v>
      </c>
      <c r="F63" s="51" t="s">
        <v>306</v>
      </c>
      <c r="G63" s="51" t="s">
        <v>294</v>
      </c>
      <c r="H63" s="52">
        <f ca="1">IFERROR(__xludf.DUMMYFUNCTION("MAX(IF(REGEXMATCH(E63,""^\d{1,2},\d{2}$""),VALUE(E63),0),IF(REGEXMATCH(F63,""^\d{1,2},\d{2}$""),VALUE(F63),0),IF(REGEXMATCH(G63,""^\d{1,2},\d{2}$""),VALUE(G63),0))"),8.97)</f>
        <v>8.9700000000000006</v>
      </c>
      <c r="I63" s="21"/>
      <c r="J63" s="22"/>
    </row>
    <row r="64" spans="1:10" ht="13.2" x14ac:dyDescent="0.25">
      <c r="A64" s="17"/>
      <c r="B64" s="28">
        <v>4</v>
      </c>
      <c r="C64" s="29" t="s">
        <v>307</v>
      </c>
      <c r="D64" s="44" t="s">
        <v>26</v>
      </c>
      <c r="E64" s="51" t="s">
        <v>308</v>
      </c>
      <c r="F64" s="51" t="s">
        <v>309</v>
      </c>
      <c r="G64" s="51" t="s">
        <v>310</v>
      </c>
      <c r="H64" s="52">
        <f ca="1">IFERROR(__xludf.DUMMYFUNCTION("MAX(IF(REGEXMATCH(E64,""^\d{1,2},\d{2}$""),VALUE(E64),0),IF(REGEXMATCH(F64,""^\d{1,2},\d{2}$""),VALUE(F64),0),IF(REGEXMATCH(G64,""^\d{1,2},\d{2}$""),VALUE(G64),0))"),7.16)</f>
        <v>7.16</v>
      </c>
      <c r="I64" s="21"/>
      <c r="J64" s="22"/>
    </row>
    <row r="65" spans="1:10" ht="13.2" x14ac:dyDescent="0.25">
      <c r="A65" s="17"/>
      <c r="B65" s="28">
        <v>5</v>
      </c>
      <c r="C65" s="29"/>
      <c r="D65" s="44"/>
      <c r="E65" s="51"/>
      <c r="F65" s="51"/>
      <c r="G65" s="51"/>
      <c r="H65" s="52">
        <f ca="1">IFERROR(__xludf.DUMMYFUNCTION("MAX(IF(REGEXMATCH(E65,""^\d{1,2},\d{2}$""),VALUE(E65),0),IF(REGEXMATCH(F65,""^\d{1,2},\d{2}$""),VALUE(F65),0),IF(REGEXMATCH(G65,""^\d{1,2},\d{2}$""),VALUE(G65),0))"),0)</f>
        <v>0</v>
      </c>
      <c r="I65" s="21"/>
      <c r="J65" s="22"/>
    </row>
    <row r="66" spans="1:10" ht="13.2" x14ac:dyDescent="0.25">
      <c r="A66" s="17"/>
      <c r="B66" s="53" t="s">
        <v>22</v>
      </c>
      <c r="C66" s="36"/>
      <c r="D66" s="37" t="s">
        <v>311</v>
      </c>
      <c r="E66" s="38"/>
      <c r="F66" s="38"/>
      <c r="G66" s="38"/>
      <c r="H66" s="55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49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49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49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49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49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49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49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49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49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49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49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49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49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49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49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49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49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49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49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49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49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49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49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49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49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49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49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49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49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49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49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49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49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49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49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49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49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49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49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49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49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49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49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49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49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49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49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49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49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49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49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49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49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49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49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49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49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49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49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49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49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49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49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49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49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49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49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49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49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49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49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49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49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49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49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49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49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49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49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49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49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49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49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49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49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49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49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49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49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49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49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49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49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49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49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49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49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49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49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49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49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49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49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49"/>
      <c r="I841" s="21"/>
      <c r="J841" s="22"/>
    </row>
    <row r="842" spans="1:10" ht="13.2" x14ac:dyDescent="0.25">
      <c r="A842" s="17"/>
      <c r="B842" s="17"/>
      <c r="D842" s="18"/>
      <c r="E842" s="18"/>
      <c r="F842" s="18"/>
      <c r="G842" s="18"/>
      <c r="H842" s="49"/>
      <c r="I842" s="21"/>
      <c r="J842" s="22"/>
    </row>
    <row r="843" spans="1:10" ht="13.2" x14ac:dyDescent="0.25">
      <c r="A843" s="17"/>
      <c r="B843" s="17"/>
      <c r="D843" s="18"/>
      <c r="E843" s="18"/>
      <c r="F843" s="18"/>
      <c r="G843" s="18"/>
      <c r="H843" s="49"/>
      <c r="I843" s="21"/>
      <c r="J843" s="22"/>
    </row>
    <row r="844" spans="1:10" ht="13.2" x14ac:dyDescent="0.25">
      <c r="A844" s="17"/>
      <c r="B844" s="17"/>
      <c r="D844" s="18"/>
      <c r="E844" s="18"/>
      <c r="F844" s="18"/>
      <c r="G844" s="18"/>
      <c r="H844" s="49"/>
      <c r="I844" s="21"/>
      <c r="J844" s="22"/>
    </row>
    <row r="845" spans="1:10" ht="13.2" x14ac:dyDescent="0.25">
      <c r="A845" s="17"/>
      <c r="B845" s="17"/>
      <c r="D845" s="18"/>
      <c r="E845" s="18"/>
      <c r="F845" s="18"/>
      <c r="G845" s="18"/>
      <c r="H845" s="49"/>
      <c r="I845" s="21"/>
      <c r="J845" s="22"/>
    </row>
    <row r="846" spans="1:10" ht="13.2" x14ac:dyDescent="0.25">
      <c r="A846" s="17"/>
      <c r="B846" s="17"/>
      <c r="D846" s="18"/>
      <c r="E846" s="18"/>
      <c r="F846" s="18"/>
      <c r="G846" s="18"/>
      <c r="H846" s="49"/>
      <c r="I846" s="21"/>
      <c r="J846" s="22"/>
    </row>
    <row r="847" spans="1:10" ht="13.2" x14ac:dyDescent="0.25">
      <c r="A847" s="17"/>
      <c r="B847" s="17"/>
      <c r="D847" s="18"/>
      <c r="E847" s="18"/>
      <c r="F847" s="18"/>
      <c r="G847" s="18"/>
      <c r="H847" s="49"/>
      <c r="I847" s="21"/>
      <c r="J847" s="22"/>
    </row>
    <row r="848" spans="1:10" ht="13.2" x14ac:dyDescent="0.25">
      <c r="A848" s="17"/>
      <c r="B848" s="17"/>
      <c r="D848" s="18"/>
      <c r="E848" s="18"/>
      <c r="F848" s="18"/>
      <c r="G848" s="18"/>
      <c r="H848" s="49"/>
      <c r="I848" s="21"/>
      <c r="J848" s="22"/>
    </row>
    <row r="849" spans="1:10" ht="13.2" x14ac:dyDescent="0.25">
      <c r="A849" s="17"/>
      <c r="B849" s="17"/>
      <c r="D849" s="18"/>
      <c r="E849" s="18"/>
      <c r="F849" s="18"/>
      <c r="G849" s="18"/>
      <c r="H849" s="49"/>
      <c r="I849" s="21"/>
      <c r="J849" s="22"/>
    </row>
    <row r="850" spans="1:10" ht="13.2" x14ac:dyDescent="0.25">
      <c r="A850" s="17"/>
      <c r="B850" s="17"/>
      <c r="D850" s="18"/>
      <c r="E850" s="18"/>
      <c r="F850" s="18"/>
      <c r="G850" s="18"/>
      <c r="H850" s="49"/>
      <c r="I850" s="21"/>
      <c r="J850" s="22"/>
    </row>
    <row r="851" spans="1:10" ht="13.2" x14ac:dyDescent="0.25">
      <c r="A851" s="17"/>
      <c r="B851" s="17"/>
      <c r="D851" s="18"/>
      <c r="E851" s="18"/>
      <c r="F851" s="18"/>
      <c r="G851" s="18"/>
      <c r="H851" s="49"/>
      <c r="I851" s="21"/>
      <c r="J851" s="22"/>
    </row>
    <row r="852" spans="1:10" ht="13.2" x14ac:dyDescent="0.25">
      <c r="A852" s="17"/>
      <c r="B852" s="17"/>
      <c r="D852" s="18"/>
      <c r="E852" s="18"/>
      <c r="F852" s="18"/>
      <c r="G852" s="18"/>
      <c r="H852" s="49"/>
      <c r="I852" s="21"/>
      <c r="J852" s="22"/>
    </row>
    <row r="853" spans="1:10" ht="13.2" x14ac:dyDescent="0.25">
      <c r="A853" s="17"/>
      <c r="B853" s="17"/>
      <c r="D853" s="18"/>
      <c r="E853" s="18"/>
      <c r="F853" s="18"/>
      <c r="G853" s="18"/>
      <c r="H853" s="49"/>
      <c r="I853" s="21"/>
      <c r="J853" s="22"/>
    </row>
    <row r="854" spans="1:10" ht="13.2" x14ac:dyDescent="0.25">
      <c r="A854" s="17"/>
      <c r="B854" s="17"/>
      <c r="D854" s="18"/>
      <c r="E854" s="18"/>
      <c r="F854" s="18"/>
      <c r="G854" s="18"/>
      <c r="H854" s="49"/>
      <c r="I854" s="21"/>
      <c r="J854" s="22"/>
    </row>
    <row r="855" spans="1:10" ht="13.2" x14ac:dyDescent="0.25">
      <c r="A855" s="17"/>
      <c r="B855" s="17"/>
      <c r="D855" s="18"/>
      <c r="E855" s="18"/>
      <c r="F855" s="18"/>
      <c r="G855" s="18"/>
      <c r="H855" s="49"/>
      <c r="I855" s="21"/>
      <c r="J855" s="22"/>
    </row>
    <row r="856" spans="1:10" ht="13.2" x14ac:dyDescent="0.25">
      <c r="A856" s="17"/>
      <c r="B856" s="17"/>
      <c r="D856" s="18"/>
      <c r="E856" s="18"/>
      <c r="F856" s="18"/>
      <c r="G856" s="18"/>
      <c r="H856" s="49"/>
      <c r="I856" s="21"/>
      <c r="J856" s="22"/>
    </row>
    <row r="857" spans="1:10" ht="13.2" x14ac:dyDescent="0.25">
      <c r="A857" s="17"/>
      <c r="B857" s="17"/>
      <c r="D857" s="18"/>
      <c r="E857" s="18"/>
      <c r="F857" s="18"/>
      <c r="G857" s="18"/>
      <c r="H857" s="49"/>
      <c r="I857" s="21"/>
      <c r="J857" s="22"/>
    </row>
    <row r="858" spans="1:10" ht="13.2" x14ac:dyDescent="0.25">
      <c r="A858" s="17"/>
      <c r="B858" s="17"/>
      <c r="D858" s="18"/>
      <c r="E858" s="18"/>
      <c r="F858" s="18"/>
      <c r="G858" s="18"/>
      <c r="H858" s="49"/>
      <c r="I858" s="21"/>
      <c r="J858" s="22"/>
    </row>
    <row r="859" spans="1:10" ht="13.2" x14ac:dyDescent="0.25">
      <c r="A859" s="17"/>
      <c r="B859" s="17"/>
      <c r="D859" s="18"/>
      <c r="E859" s="18"/>
      <c r="F859" s="18"/>
      <c r="G859" s="18"/>
      <c r="H859" s="49"/>
      <c r="I859" s="21"/>
      <c r="J859" s="22"/>
    </row>
    <row r="860" spans="1:10" ht="13.2" x14ac:dyDescent="0.25">
      <c r="A860" s="17"/>
      <c r="B860" s="17"/>
      <c r="D860" s="18"/>
      <c r="E860" s="18"/>
      <c r="F860" s="18"/>
      <c r="G860" s="18"/>
      <c r="H860" s="49"/>
      <c r="I860" s="21"/>
      <c r="J860" s="22"/>
    </row>
    <row r="861" spans="1:10" ht="13.2" x14ac:dyDescent="0.25">
      <c r="A861" s="17"/>
      <c r="B861" s="17"/>
      <c r="D861" s="18"/>
      <c r="E861" s="18"/>
      <c r="F861" s="18"/>
      <c r="G861" s="18"/>
      <c r="H861" s="49"/>
      <c r="I861" s="21"/>
      <c r="J861" s="22"/>
    </row>
    <row r="862" spans="1:10" ht="13.2" x14ac:dyDescent="0.25">
      <c r="A862" s="17"/>
      <c r="B862" s="17"/>
      <c r="D862" s="18"/>
      <c r="E862" s="18"/>
      <c r="F862" s="18"/>
      <c r="G862" s="18"/>
      <c r="H862" s="49"/>
      <c r="I862" s="21"/>
      <c r="J862" s="22"/>
    </row>
    <row r="863" spans="1:10" ht="13.2" x14ac:dyDescent="0.25">
      <c r="A863" s="17"/>
      <c r="B863" s="17"/>
      <c r="D863" s="18"/>
      <c r="E863" s="18"/>
      <c r="F863" s="18"/>
      <c r="G863" s="18"/>
      <c r="H863" s="49"/>
      <c r="I863" s="21"/>
      <c r="J863" s="22"/>
    </row>
    <row r="864" spans="1:10" ht="13.2" x14ac:dyDescent="0.25">
      <c r="A864" s="17"/>
      <c r="B864" s="17"/>
      <c r="D864" s="18"/>
      <c r="E864" s="18"/>
      <c r="F864" s="18"/>
      <c r="G864" s="18"/>
      <c r="H864" s="49"/>
      <c r="I864" s="21"/>
      <c r="J864" s="22"/>
    </row>
    <row r="865" spans="1:10" ht="13.2" x14ac:dyDescent="0.25">
      <c r="A865" s="17"/>
      <c r="B865" s="17"/>
      <c r="D865" s="18"/>
      <c r="E865" s="18"/>
      <c r="F865" s="18"/>
      <c r="G865" s="18"/>
      <c r="H865" s="49"/>
      <c r="I865" s="21"/>
      <c r="J865" s="22"/>
    </row>
    <row r="866" spans="1:10" ht="13.2" x14ac:dyDescent="0.25">
      <c r="A866" s="17"/>
      <c r="B866" s="17"/>
      <c r="D866" s="18"/>
      <c r="E866" s="18"/>
      <c r="F866" s="18"/>
      <c r="G866" s="18"/>
      <c r="H866" s="49"/>
      <c r="I866" s="21"/>
      <c r="J866" s="22"/>
    </row>
    <row r="867" spans="1:10" ht="13.2" x14ac:dyDescent="0.25">
      <c r="A867" s="17"/>
      <c r="B867" s="17"/>
      <c r="D867" s="18"/>
      <c r="E867" s="18"/>
      <c r="F867" s="18"/>
      <c r="G867" s="18"/>
      <c r="H867" s="49"/>
      <c r="I867" s="21"/>
      <c r="J867" s="22"/>
    </row>
    <row r="868" spans="1:10" ht="13.2" x14ac:dyDescent="0.25">
      <c r="A868" s="17"/>
      <c r="B868" s="17"/>
      <c r="D868" s="18"/>
      <c r="E868" s="18"/>
      <c r="F868" s="18"/>
      <c r="G868" s="18"/>
      <c r="H868" s="49"/>
      <c r="I868" s="21"/>
      <c r="J868" s="22"/>
    </row>
    <row r="869" spans="1:10" ht="13.2" x14ac:dyDescent="0.25">
      <c r="A869" s="17"/>
      <c r="B869" s="17"/>
      <c r="D869" s="18"/>
      <c r="E869" s="18"/>
      <c r="F869" s="18"/>
      <c r="G869" s="18"/>
      <c r="H869" s="49"/>
      <c r="I869" s="21"/>
      <c r="J869" s="22"/>
    </row>
    <row r="870" spans="1:10" ht="13.2" x14ac:dyDescent="0.25">
      <c r="A870" s="17"/>
      <c r="B870" s="17"/>
      <c r="D870" s="18"/>
      <c r="E870" s="18"/>
      <c r="F870" s="18"/>
      <c r="G870" s="18"/>
      <c r="H870" s="49"/>
      <c r="I870" s="21"/>
      <c r="J870" s="22"/>
    </row>
    <row r="871" spans="1:10" ht="13.2" x14ac:dyDescent="0.25">
      <c r="A871" s="17"/>
      <c r="B871" s="17"/>
      <c r="D871" s="18"/>
      <c r="E871" s="18"/>
      <c r="F871" s="18"/>
      <c r="G871" s="18"/>
      <c r="H871" s="49"/>
      <c r="I871" s="21"/>
      <c r="J871" s="22"/>
    </row>
    <row r="872" spans="1:10" ht="13.2" x14ac:dyDescent="0.25">
      <c r="A872" s="17"/>
      <c r="B872" s="17"/>
      <c r="D872" s="18"/>
      <c r="E872" s="18"/>
      <c r="F872" s="18"/>
      <c r="G872" s="18"/>
      <c r="H872" s="49"/>
      <c r="I872" s="21"/>
      <c r="J872" s="22"/>
    </row>
    <row r="873" spans="1:10" ht="13.2" x14ac:dyDescent="0.25">
      <c r="A873" s="17"/>
      <c r="B873" s="17"/>
      <c r="D873" s="18"/>
      <c r="E873" s="18"/>
      <c r="F873" s="18"/>
      <c r="G873" s="18"/>
      <c r="H873" s="49"/>
      <c r="I873" s="21"/>
      <c r="J873" s="22"/>
    </row>
    <row r="874" spans="1:10" ht="13.2" x14ac:dyDescent="0.25">
      <c r="A874" s="17"/>
      <c r="B874" s="17"/>
      <c r="D874" s="18"/>
      <c r="E874" s="18"/>
      <c r="F874" s="18"/>
      <c r="G874" s="18"/>
      <c r="H874" s="49"/>
      <c r="I874" s="21"/>
      <c r="J874" s="22"/>
    </row>
    <row r="875" spans="1:10" ht="13.2" x14ac:dyDescent="0.25">
      <c r="A875" s="17"/>
      <c r="B875" s="17"/>
      <c r="D875" s="18"/>
      <c r="E875" s="18"/>
      <c r="F875" s="18"/>
      <c r="G875" s="18"/>
      <c r="H875" s="49"/>
      <c r="I875" s="21"/>
      <c r="J875" s="22"/>
    </row>
    <row r="876" spans="1:10" ht="13.2" x14ac:dyDescent="0.25">
      <c r="A876" s="17"/>
      <c r="B876" s="17"/>
      <c r="D876" s="18"/>
      <c r="E876" s="18"/>
      <c r="F876" s="18"/>
      <c r="G876" s="18"/>
      <c r="H876" s="49"/>
      <c r="I876" s="21"/>
      <c r="J876" s="22"/>
    </row>
    <row r="877" spans="1:10" ht="13.2" x14ac:dyDescent="0.25">
      <c r="A877" s="17"/>
      <c r="B877" s="17"/>
      <c r="D877" s="18"/>
      <c r="E877" s="18"/>
      <c r="F877" s="18"/>
      <c r="G877" s="18"/>
      <c r="H877" s="49"/>
      <c r="I877" s="21"/>
      <c r="J877" s="22"/>
    </row>
    <row r="878" spans="1:10" ht="13.2" x14ac:dyDescent="0.25">
      <c r="A878" s="17"/>
      <c r="B878" s="17"/>
      <c r="D878" s="18"/>
      <c r="E878" s="18"/>
      <c r="F878" s="18"/>
      <c r="G878" s="18"/>
      <c r="H878" s="49"/>
      <c r="I878" s="21"/>
      <c r="J878" s="22"/>
    </row>
    <row r="879" spans="1:10" ht="13.2" x14ac:dyDescent="0.25">
      <c r="A879" s="17"/>
      <c r="B879" s="17"/>
      <c r="D879" s="18"/>
      <c r="E879" s="18"/>
      <c r="F879" s="18"/>
      <c r="G879" s="18"/>
      <c r="H879" s="49"/>
      <c r="I879" s="21"/>
      <c r="J879" s="22"/>
    </row>
    <row r="880" spans="1:10" ht="13.2" x14ac:dyDescent="0.25">
      <c r="A880" s="17"/>
      <c r="B880" s="17"/>
      <c r="D880" s="18"/>
      <c r="E880" s="18"/>
      <c r="F880" s="18"/>
      <c r="G880" s="18"/>
      <c r="H880" s="49"/>
      <c r="I880" s="21"/>
      <c r="J880" s="22"/>
    </row>
    <row r="881" spans="1:10" ht="13.2" x14ac:dyDescent="0.25">
      <c r="A881" s="17"/>
      <c r="B881" s="17"/>
      <c r="D881" s="18"/>
      <c r="E881" s="18"/>
      <c r="F881" s="18"/>
      <c r="G881" s="18"/>
      <c r="H881" s="49"/>
      <c r="I881" s="21"/>
      <c r="J881" s="22"/>
    </row>
    <row r="882" spans="1:10" ht="13.2" x14ac:dyDescent="0.25">
      <c r="A882" s="17"/>
      <c r="B882" s="17"/>
      <c r="D882" s="18"/>
      <c r="E882" s="18"/>
      <c r="F882" s="18"/>
      <c r="G882" s="18"/>
      <c r="H882" s="49"/>
      <c r="I882" s="21"/>
      <c r="J882" s="22"/>
    </row>
    <row r="883" spans="1:10" ht="13.2" x14ac:dyDescent="0.25">
      <c r="A883" s="17"/>
      <c r="B883" s="17"/>
      <c r="D883" s="18"/>
      <c r="E883" s="18"/>
      <c r="F883" s="18"/>
      <c r="G883" s="18"/>
      <c r="H883" s="49"/>
      <c r="I883" s="21"/>
      <c r="J883" s="22"/>
    </row>
    <row r="884" spans="1:10" ht="13.2" x14ac:dyDescent="0.25">
      <c r="A884" s="17"/>
      <c r="B884" s="17"/>
      <c r="D884" s="18"/>
      <c r="E884" s="18"/>
      <c r="F884" s="18"/>
      <c r="G884" s="18"/>
      <c r="H884" s="49"/>
      <c r="I884" s="21"/>
      <c r="J884" s="22"/>
    </row>
    <row r="885" spans="1:10" ht="13.2" x14ac:dyDescent="0.25">
      <c r="A885" s="17"/>
      <c r="B885" s="17"/>
      <c r="D885" s="18"/>
      <c r="E885" s="18"/>
      <c r="F885" s="18"/>
      <c r="G885" s="18"/>
      <c r="H885" s="49"/>
      <c r="I885" s="21"/>
      <c r="J885" s="22"/>
    </row>
  </sheetData>
  <mergeCells count="8">
    <mergeCell ref="B44:G44"/>
    <mergeCell ref="B52:G52"/>
    <mergeCell ref="B60:G60"/>
    <mergeCell ref="B4:G4"/>
    <mergeCell ref="B12:G12"/>
    <mergeCell ref="B20:G20"/>
    <mergeCell ref="B28:G28"/>
    <mergeCell ref="B36:G36"/>
  </mergeCells>
  <conditionalFormatting sqref="L13">
    <cfRule type="notContainsBlanks" dxfId="7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 D37:D41 D45:D49 D53:D57 D61:D65" xr:uid="{00000000-0002-0000-0200-000000000000}">
      <formula1>OR(D5 = "2006", D5="2007",  D5="2008", D5="2009", D5="2010", D5="2011")</formula1>
    </dataValidation>
    <dataValidation type="custom" allowBlank="1" showDropDown="1" showInputMessage="1" showErrorMessage="1" prompt="Csak szám, (12,33), x. és - jel használható!" sqref="E5:G9 E13:G17 E21:G25 E29:G33 E37:G41 E45:G49 E53:G57 E61:G65" xr:uid="{00000000-0002-0000-0200-000001000000}">
      <formula1>REGEXMATCH(E5,"^\d{1,2},\d{2}$|^x$|^X$|^-$")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73763"/>
    <outlinePr summaryBelow="0" summaryRight="0"/>
  </sheetPr>
  <dimension ref="A1:AA791"/>
  <sheetViews>
    <sheetView workbookViewId="0">
      <pane ySplit="3" topLeftCell="A4" activePane="bottomLeft" state="frozen"/>
      <selection pane="bottomLeft" activeCell="A36" sqref="A36:XFD268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312</v>
      </c>
      <c r="B1" s="2"/>
      <c r="C1" s="3"/>
      <c r="D1" s="4"/>
      <c r="E1" s="5"/>
      <c r="F1" s="5"/>
      <c r="G1" s="5"/>
      <c r="H1" s="46"/>
      <c r="I1" s="47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187</v>
      </c>
      <c r="C4" s="73"/>
      <c r="D4" s="73"/>
      <c r="E4" s="73"/>
      <c r="F4" s="73"/>
      <c r="G4" s="74"/>
      <c r="H4" s="50"/>
      <c r="I4" s="25">
        <f ca="1">IF(COUNTIFS(H5:H9,"&gt;0") &gt; 3, FLOOR((SUM(H5:H9)-MIN(H5,H6,H7,H8,H9))/4,0.0001), )</f>
        <v>36.3675</v>
      </c>
      <c r="J4" s="26">
        <f ca="1">IF(I4=0,"",RANK(I4,$I$4:$I$35,))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188</v>
      </c>
      <c r="D5" s="30" t="s">
        <v>32</v>
      </c>
      <c r="E5" s="51" t="s">
        <v>313</v>
      </c>
      <c r="F5" s="51" t="s">
        <v>314</v>
      </c>
      <c r="G5" s="51" t="s">
        <v>314</v>
      </c>
      <c r="H5" s="52">
        <f ca="1">IFERROR(__xludf.DUMMYFUNCTION("MAX(IF(REGEXMATCH(E5,""^\d{1,2},\d{2}$""),VALUE(E5),0),IF(REGEXMATCH(F5,""^\d{1,2},\d{2}$""),VALUE(F5),0),IF(REGEXMATCH(G5,""^\d{1,2},\d{2}$""),VALUE(G5),0))"),38.38)</f>
        <v>38.380000000000003</v>
      </c>
      <c r="I5" s="21"/>
      <c r="J5" s="22"/>
    </row>
    <row r="6" spans="1:27" ht="18.75" customHeight="1" x14ac:dyDescent="0.25">
      <c r="A6" s="17"/>
      <c r="B6" s="28">
        <v>2</v>
      </c>
      <c r="C6" s="29" t="s">
        <v>192</v>
      </c>
      <c r="D6" s="30" t="s">
        <v>26</v>
      </c>
      <c r="E6" s="51" t="s">
        <v>315</v>
      </c>
      <c r="F6" s="51" t="s">
        <v>314</v>
      </c>
      <c r="G6" s="51" t="s">
        <v>314</v>
      </c>
      <c r="H6" s="52">
        <f ca="1">IFERROR(__xludf.DUMMYFUNCTION("MAX(IF(REGEXMATCH(E6,""^\d{1,2},\d{2}$""),VALUE(E6),0),IF(REGEXMATCH(F6,""^\d{1,2},\d{2}$""),VALUE(F6),0),IF(REGEXMATCH(G6,""^\d{1,2},\d{2}$""),VALUE(G6),0))"),31.29)</f>
        <v>31.29</v>
      </c>
      <c r="I6" s="21"/>
      <c r="J6" s="22"/>
    </row>
    <row r="7" spans="1:27" ht="18.75" customHeight="1" x14ac:dyDescent="0.25">
      <c r="A7" s="17"/>
      <c r="B7" s="28">
        <v>3</v>
      </c>
      <c r="C7" s="29" t="s">
        <v>196</v>
      </c>
      <c r="D7" s="30" t="s">
        <v>10</v>
      </c>
      <c r="E7" s="51" t="s">
        <v>316</v>
      </c>
      <c r="F7" s="51" t="s">
        <v>314</v>
      </c>
      <c r="G7" s="51" t="s">
        <v>314</v>
      </c>
      <c r="H7" s="52">
        <f ca="1">IFERROR(__xludf.DUMMYFUNCTION("MAX(IF(REGEXMATCH(E7,""^\d{1,2},\d{2}$""),VALUE(E7),0),IF(REGEXMATCH(F7,""^\d{1,2},\d{2}$""),VALUE(F7),0),IF(REGEXMATCH(G7,""^\d{1,2},\d{2}$""),VALUE(G7),0))"),28.24)</f>
        <v>28.24</v>
      </c>
      <c r="I7" s="21"/>
      <c r="J7" s="22"/>
    </row>
    <row r="8" spans="1:27" ht="18.75" customHeight="1" x14ac:dyDescent="0.25">
      <c r="A8" s="17"/>
      <c r="B8" s="28">
        <v>4</v>
      </c>
      <c r="C8" s="29" t="s">
        <v>200</v>
      </c>
      <c r="D8" s="30" t="s">
        <v>10</v>
      </c>
      <c r="E8" s="51" t="s">
        <v>317</v>
      </c>
      <c r="F8" s="51" t="s">
        <v>314</v>
      </c>
      <c r="G8" s="51" t="s">
        <v>314</v>
      </c>
      <c r="H8" s="52">
        <f ca="1">IFERROR(__xludf.DUMMYFUNCTION("MAX(IF(REGEXMATCH(E8,""^\d{1,2},\d{2}$""),VALUE(E8),0),IF(REGEXMATCH(F8,""^\d{1,2},\d{2}$""),VALUE(F8),0),IF(REGEXMATCH(G8,""^\d{1,2},\d{2}$""),VALUE(G8),0))"),47.56)</f>
        <v>47.56</v>
      </c>
      <c r="I8" s="21"/>
      <c r="J8" s="22"/>
    </row>
    <row r="9" spans="1:27" ht="18.75" customHeight="1" x14ac:dyDescent="0.25">
      <c r="A9" s="17"/>
      <c r="B9" s="28">
        <v>5</v>
      </c>
      <c r="C9" s="29"/>
      <c r="D9" s="30"/>
      <c r="E9" s="51"/>
      <c r="F9" s="51"/>
      <c r="G9" s="51"/>
      <c r="H9" s="52">
        <f ca="1">IFERROR(__xludf.DUMMYFUNCTION("MAX(IF(REGEXMATCH(E9,""^\d{1,2},\d{2}$""),VALUE(E9),0),IF(REGEXMATCH(F9,""^\d{1,2},\d{2}$""),VALUE(F9),0),IF(REGEXMATCH(G9,""^\d{1,2},\d{2}$""),VALUE(G9),0))"),0)</f>
        <v>0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204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35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25.9375</v>
      </c>
      <c r="J12" s="26">
        <f ca="1">IF(I12=0,"",RANK(I12,$I$4:$I$35,))</f>
        <v>2</v>
      </c>
    </row>
    <row r="13" spans="1:27" ht="18.75" customHeight="1" x14ac:dyDescent="0.25">
      <c r="A13" s="17"/>
      <c r="B13" s="28">
        <v>1</v>
      </c>
      <c r="C13" s="29" t="s">
        <v>208</v>
      </c>
      <c r="D13" s="44" t="s">
        <v>10</v>
      </c>
      <c r="E13" s="51" t="s">
        <v>318</v>
      </c>
      <c r="F13" s="51"/>
      <c r="G13" s="51"/>
      <c r="H13" s="52">
        <f ca="1">IFERROR(__xludf.DUMMYFUNCTION("MAX(IF(REGEXMATCH(E13,""^\d{1,2},\d{2}$""),VALUE(E13),0),IF(REGEXMATCH(F13,""^\d{1,2},\d{2}$""),VALUE(F13),0),IF(REGEXMATCH(G13,""^\d{1,2},\d{2}$""),VALUE(G13),0))"),20)</f>
        <v>20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212</v>
      </c>
      <c r="D14" s="44" t="s">
        <v>26</v>
      </c>
      <c r="E14" s="51" t="s">
        <v>319</v>
      </c>
      <c r="F14" s="51"/>
      <c r="G14" s="51"/>
      <c r="H14" s="52">
        <f ca="1">IFERROR(__xludf.DUMMYFUNCTION("MAX(IF(REGEXMATCH(E14,""^\d{1,2},\d{2}$""),VALUE(E14),0),IF(REGEXMATCH(F14,""^\d{1,2},\d{2}$""),VALUE(F14),0),IF(REGEXMATCH(G14,""^\d{1,2},\d{2}$""),VALUE(G14),0))"),34.18)</f>
        <v>34.18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218</v>
      </c>
      <c r="D15" s="44" t="s">
        <v>32</v>
      </c>
      <c r="E15" s="51" t="s">
        <v>320</v>
      </c>
      <c r="F15" s="51"/>
      <c r="G15" s="51"/>
      <c r="H15" s="52">
        <f ca="1">IFERROR(__xludf.DUMMYFUNCTION("MAX(IF(REGEXMATCH(E15,""^\d{1,2},\d{2}$""),VALUE(E15),0),IF(REGEXMATCH(F15,""^\d{1,2},\d{2}$""),VALUE(F15),0),IF(REGEXMATCH(G15,""^\d{1,2},\d{2}$""),VALUE(G15),0))"),29.23)</f>
        <v>29.23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321</v>
      </c>
      <c r="D16" s="44" t="s">
        <v>26</v>
      </c>
      <c r="E16" s="51" t="s">
        <v>322</v>
      </c>
      <c r="F16" s="51"/>
      <c r="G16" s="51"/>
      <c r="H16" s="52">
        <f ca="1">IFERROR(__xludf.DUMMYFUNCTION("MAX(IF(REGEXMATCH(E16,""^\d{1,2},\d{2}$""),VALUE(E16),0),IF(REGEXMATCH(F16,""^\d{1,2},\d{2}$""),VALUE(F16),0),IF(REGEXMATCH(G16,""^\d{1,2},\d{2}$""),VALUE(G16),0))"),20.34)</f>
        <v>20.34</v>
      </c>
      <c r="I16" s="21"/>
      <c r="J16" s="22"/>
    </row>
    <row r="17" spans="1:10" ht="18.75" customHeight="1" x14ac:dyDescent="0.25">
      <c r="A17" s="17"/>
      <c r="B17" s="28">
        <v>5</v>
      </c>
      <c r="C17" s="29"/>
      <c r="D17" s="44"/>
      <c r="E17" s="51"/>
      <c r="F17" s="51"/>
      <c r="G17" s="51"/>
      <c r="H17" s="52">
        <f ca="1">IFERROR(__xludf.DUMMYFUNCTION("MAX(IF(REGEXMATCH(E17,""^\d{1,2},\d{2}$""),VALUE(E17),0),IF(REGEXMATCH(F17,""^\d{1,2},\d{2}$""),VALUE(F17),0),IF(REGEXMATCH(G17,""^\d{1,2},\d{2}$""),VALUE(G17),0))"),0)</f>
        <v>0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45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323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24.852500000000003</v>
      </c>
      <c r="J20" s="26">
        <f ca="1">IF(I20=0,"",RANK(I20,$I$4:$I$35,))</f>
        <v>3</v>
      </c>
    </row>
    <row r="21" spans="1:10" ht="13.2" x14ac:dyDescent="0.25">
      <c r="A21" s="17"/>
      <c r="B21" s="28">
        <v>1</v>
      </c>
      <c r="C21" s="29" t="s">
        <v>222</v>
      </c>
      <c r="D21" s="44" t="s">
        <v>10</v>
      </c>
      <c r="E21" s="51" t="s">
        <v>324</v>
      </c>
      <c r="F21" s="51"/>
      <c r="G21" s="51"/>
      <c r="H21" s="52">
        <f ca="1">IFERROR(__xludf.DUMMYFUNCTION("MAX(IF(REGEXMATCH(E21,""^\d{1,2},\d{2}$""),VALUE(E21),0),IF(REGEXMATCH(F21,""^\d{1,2},\d{2}$""),VALUE(F21),0),IF(REGEXMATCH(G21,""^\d{1,2},\d{2}$""),VALUE(G21),0))"),28.98)</f>
        <v>28.98</v>
      </c>
      <c r="I21" s="21"/>
      <c r="J21" s="22"/>
    </row>
    <row r="22" spans="1:10" ht="13.2" x14ac:dyDescent="0.25">
      <c r="A22" s="17"/>
      <c r="B22" s="28">
        <v>2</v>
      </c>
      <c r="C22" s="29" t="s">
        <v>230</v>
      </c>
      <c r="D22" s="44" t="s">
        <v>32</v>
      </c>
      <c r="E22" s="51" t="s">
        <v>325</v>
      </c>
      <c r="F22" s="51"/>
      <c r="G22" s="51"/>
      <c r="H22" s="52">
        <f ca="1">IFERROR(__xludf.DUMMYFUNCTION("MAX(IF(REGEXMATCH(E22,""^\d{1,2},\d{2}$""),VALUE(E22),0),IF(REGEXMATCH(F22,""^\d{1,2},\d{2}$""),VALUE(F22),0),IF(REGEXMATCH(G22,""^\d{1,2},\d{2}$""),VALUE(G22),0))"),26.25)</f>
        <v>26.25</v>
      </c>
      <c r="I22" s="21"/>
      <c r="J22" s="22"/>
    </row>
    <row r="23" spans="1:10" ht="13.2" x14ac:dyDescent="0.25">
      <c r="A23" s="17"/>
      <c r="B23" s="28">
        <v>3</v>
      </c>
      <c r="C23" s="29" t="s">
        <v>226</v>
      </c>
      <c r="D23" s="44" t="s">
        <v>10</v>
      </c>
      <c r="E23" s="51" t="s">
        <v>326</v>
      </c>
      <c r="F23" s="51"/>
      <c r="G23" s="51"/>
      <c r="H23" s="52">
        <f ca="1">IFERROR(__xludf.DUMMYFUNCTION("MAX(IF(REGEXMATCH(E23,""^\d{1,2},\d{2}$""),VALUE(E23),0),IF(REGEXMATCH(F23,""^\d{1,2},\d{2}$""),VALUE(F23),0),IF(REGEXMATCH(G23,""^\d{1,2},\d{2}$""),VALUE(G23),0))"),23.7)</f>
        <v>23.7</v>
      </c>
      <c r="I23" s="21"/>
      <c r="J23" s="22"/>
    </row>
    <row r="24" spans="1:10" ht="13.2" x14ac:dyDescent="0.25">
      <c r="A24" s="17"/>
      <c r="B24" s="28">
        <v>4</v>
      </c>
      <c r="C24" s="29" t="s">
        <v>327</v>
      </c>
      <c r="D24" s="44" t="s">
        <v>10</v>
      </c>
      <c r="E24" s="51" t="s">
        <v>328</v>
      </c>
      <c r="F24" s="51"/>
      <c r="G24" s="51"/>
      <c r="H24" s="52">
        <f ca="1">IFERROR(__xludf.DUMMYFUNCTION("MAX(IF(REGEXMATCH(E24,""^\d{1,2},\d{2}$""),VALUE(E24),0),IF(REGEXMATCH(F24,""^\d{1,2},\d{2}$""),VALUE(F24),0),IF(REGEXMATCH(G24,""^\d{1,2},\d{2}$""),VALUE(G24),0))"),20.48)</f>
        <v>20.48</v>
      </c>
      <c r="I24" s="21"/>
      <c r="J24" s="22"/>
    </row>
    <row r="25" spans="1:10" ht="13.2" x14ac:dyDescent="0.25">
      <c r="A25" s="17"/>
      <c r="B25" s="28">
        <v>5</v>
      </c>
      <c r="C25" s="29"/>
      <c r="D25" s="44"/>
      <c r="E25" s="51"/>
      <c r="F25" s="51"/>
      <c r="G25" s="51"/>
      <c r="H25" s="52">
        <f ca="1">IFERROR(__xludf.DUMMYFUNCTION("MAX(IF(REGEXMATCH(E25,""^\d{1,2},\d{2}$""),VALUE(E25),0),IF(REGEXMATCH(F25,""^\d{1,2},\d{2}$""),VALUE(F25),0),IF(REGEXMATCH(G25,""^\d{1,2},\d{2}$""),VALUE(G25),0))"),0)</f>
        <v>0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63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329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19.6325</v>
      </c>
      <c r="J28" s="26">
        <f ca="1">IF(I28=0,"",RANK(I28,$I$4:$I$35,))</f>
        <v>4</v>
      </c>
    </row>
    <row r="29" spans="1:10" ht="13.2" x14ac:dyDescent="0.25">
      <c r="A29" s="17"/>
      <c r="B29" s="28">
        <v>1</v>
      </c>
      <c r="C29" s="29" t="s">
        <v>330</v>
      </c>
      <c r="D29" s="44" t="s">
        <v>26</v>
      </c>
      <c r="E29" s="51" t="s">
        <v>331</v>
      </c>
      <c r="F29" s="51"/>
      <c r="G29" s="51"/>
      <c r="H29" s="52">
        <f ca="1">IFERROR(__xludf.DUMMYFUNCTION("MAX(IF(REGEXMATCH(E29,""^\d{1,2},\d{2}$""),VALUE(E29),0),IF(REGEXMATCH(F29,""^\d{1,2},\d{2}$""),VALUE(F29),0),IF(REGEXMATCH(G29,""^\d{1,2},\d{2}$""),VALUE(G29),0))"),19.72)</f>
        <v>19.72</v>
      </c>
      <c r="I29" s="21"/>
      <c r="J29" s="22"/>
    </row>
    <row r="30" spans="1:10" ht="13.2" x14ac:dyDescent="0.25">
      <c r="A30" s="17"/>
      <c r="B30" s="28">
        <v>2</v>
      </c>
      <c r="C30" s="29" t="s">
        <v>332</v>
      </c>
      <c r="D30" s="44" t="s">
        <v>18</v>
      </c>
      <c r="E30" s="51" t="s">
        <v>333</v>
      </c>
      <c r="F30" s="51"/>
      <c r="G30" s="51"/>
      <c r="H30" s="52">
        <f ca="1">IFERROR(__xludf.DUMMYFUNCTION("MAX(IF(REGEXMATCH(E30,""^\d{1,2},\d{2}$""),VALUE(E30),0),IF(REGEXMATCH(F30,""^\d{1,2},\d{2}$""),VALUE(F30),0),IF(REGEXMATCH(G30,""^\d{1,2},\d{2}$""),VALUE(G30),0))"),22.17)</f>
        <v>22.17</v>
      </c>
      <c r="I30" s="21"/>
      <c r="J30" s="22"/>
    </row>
    <row r="31" spans="1:10" ht="13.2" x14ac:dyDescent="0.25">
      <c r="A31" s="17"/>
      <c r="B31" s="28">
        <v>3</v>
      </c>
      <c r="C31" s="29" t="s">
        <v>334</v>
      </c>
      <c r="D31" s="44" t="s">
        <v>26</v>
      </c>
      <c r="E31" s="51" t="s">
        <v>335</v>
      </c>
      <c r="F31" s="51"/>
      <c r="G31" s="51"/>
      <c r="H31" s="52">
        <f ca="1">IFERROR(__xludf.DUMMYFUNCTION("MAX(IF(REGEXMATCH(E31,""^\d{1,2},\d{2}$""),VALUE(E31),0),IF(REGEXMATCH(F31,""^\d{1,2},\d{2}$""),VALUE(F31),0),IF(REGEXMATCH(G31,""^\d{1,2},\d{2}$""),VALUE(G31),0))"),13.59)</f>
        <v>13.59</v>
      </c>
      <c r="I31" s="21"/>
      <c r="J31" s="22"/>
    </row>
    <row r="32" spans="1:10" ht="13.2" x14ac:dyDescent="0.25">
      <c r="A32" s="17"/>
      <c r="B32" s="28">
        <v>4</v>
      </c>
      <c r="C32" s="29" t="s">
        <v>336</v>
      </c>
      <c r="D32" s="44" t="s">
        <v>10</v>
      </c>
      <c r="E32" s="51" t="s">
        <v>337</v>
      </c>
      <c r="F32" s="51"/>
      <c r="G32" s="51"/>
      <c r="H32" s="52">
        <f ca="1">IFERROR(__xludf.DUMMYFUNCTION("MAX(IF(REGEXMATCH(E32,""^\d{1,2},\d{2}$""),VALUE(E32),0),IF(REGEXMATCH(F32,""^\d{1,2},\d{2}$""),VALUE(F32),0),IF(REGEXMATCH(G32,""^\d{1,2},\d{2}$""),VALUE(G32),0))"),23.05)</f>
        <v>23.05</v>
      </c>
      <c r="I32" s="21"/>
      <c r="J32" s="22"/>
    </row>
    <row r="33" spans="1:10" ht="13.2" x14ac:dyDescent="0.25">
      <c r="A33" s="17"/>
      <c r="B33" s="28">
        <v>5</v>
      </c>
      <c r="C33" s="29"/>
      <c r="D33" s="44"/>
      <c r="E33" s="51"/>
      <c r="F33" s="51"/>
      <c r="G33" s="51"/>
      <c r="H33" s="52">
        <f ca="1">IFERROR(__xludf.DUMMYFUNCTION("MAX(IF(REGEXMATCH(E33,""^\d{1,2},\d{2}$""),VALUE(E33),0),IF(REGEXMATCH(F33,""^\d{1,2},\d{2}$""),VALUE(F33),0),IF(REGEXMATCH(G33,""^\d{1,2},\d{2}$""),VALUE(G33),0))"),0)</f>
        <v>0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63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3.2" x14ac:dyDescent="0.25">
      <c r="A36" s="17"/>
      <c r="B36" s="17"/>
      <c r="D36" s="18"/>
      <c r="E36" s="18"/>
      <c r="F36" s="18"/>
      <c r="G36" s="18"/>
      <c r="H36" s="49"/>
      <c r="I36" s="21"/>
      <c r="J36" s="22"/>
    </row>
    <row r="37" spans="1:10" ht="13.2" x14ac:dyDescent="0.25">
      <c r="A37" s="17"/>
      <c r="B37" s="17"/>
      <c r="D37" s="18"/>
      <c r="E37" s="18"/>
      <c r="F37" s="18"/>
      <c r="G37" s="18"/>
      <c r="H37" s="49"/>
      <c r="I37" s="21"/>
      <c r="J37" s="22"/>
    </row>
    <row r="38" spans="1:10" ht="13.2" x14ac:dyDescent="0.25">
      <c r="A38" s="17"/>
      <c r="B38" s="17"/>
      <c r="D38" s="18"/>
      <c r="E38" s="18"/>
      <c r="F38" s="18"/>
      <c r="G38" s="18"/>
      <c r="H38" s="49"/>
      <c r="I38" s="21"/>
      <c r="J38" s="22"/>
    </row>
    <row r="39" spans="1:10" ht="13.2" x14ac:dyDescent="0.25">
      <c r="A39" s="17"/>
      <c r="B39" s="17"/>
      <c r="D39" s="18"/>
      <c r="E39" s="18"/>
      <c r="F39" s="18"/>
      <c r="G39" s="18"/>
      <c r="H39" s="49"/>
      <c r="I39" s="21"/>
      <c r="J39" s="22"/>
    </row>
    <row r="40" spans="1:10" ht="13.2" x14ac:dyDescent="0.25">
      <c r="A40" s="17"/>
      <c r="B40" s="17"/>
      <c r="D40" s="18"/>
      <c r="E40" s="18"/>
      <c r="F40" s="18"/>
      <c r="G40" s="18"/>
      <c r="H40" s="49"/>
      <c r="I40" s="21"/>
      <c r="J40" s="22"/>
    </row>
    <row r="41" spans="1:10" ht="13.2" x14ac:dyDescent="0.25">
      <c r="A41" s="17"/>
      <c r="B41" s="17"/>
      <c r="D41" s="18"/>
      <c r="E41" s="18"/>
      <c r="F41" s="18"/>
      <c r="G41" s="18"/>
      <c r="H41" s="49"/>
      <c r="I41" s="21"/>
      <c r="J41" s="22"/>
    </row>
    <row r="42" spans="1:10" ht="13.2" x14ac:dyDescent="0.25">
      <c r="A42" s="17"/>
      <c r="B42" s="17"/>
      <c r="D42" s="18"/>
      <c r="E42" s="18"/>
      <c r="F42" s="18"/>
      <c r="G42" s="18"/>
      <c r="H42" s="49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3.2" x14ac:dyDescent="0.25">
      <c r="A44" s="17"/>
      <c r="B44" s="17"/>
      <c r="D44" s="18"/>
      <c r="E44" s="18"/>
      <c r="F44" s="18"/>
      <c r="G44" s="18"/>
      <c r="H44" s="49"/>
      <c r="I44" s="21"/>
      <c r="J44" s="22"/>
    </row>
    <row r="45" spans="1:10" ht="13.2" x14ac:dyDescent="0.25">
      <c r="A45" s="17"/>
      <c r="B45" s="17"/>
      <c r="D45" s="18"/>
      <c r="E45" s="18"/>
      <c r="F45" s="18"/>
      <c r="G45" s="18"/>
      <c r="H45" s="49"/>
      <c r="I45" s="21"/>
      <c r="J45" s="22"/>
    </row>
    <row r="46" spans="1:10" ht="13.2" x14ac:dyDescent="0.25">
      <c r="A46" s="17"/>
      <c r="B46" s="17"/>
      <c r="D46" s="18"/>
      <c r="E46" s="18"/>
      <c r="F46" s="18"/>
      <c r="G46" s="18"/>
      <c r="H46" s="49"/>
      <c r="I46" s="21"/>
      <c r="J46" s="22"/>
    </row>
    <row r="47" spans="1:10" ht="13.2" x14ac:dyDescent="0.25">
      <c r="A47" s="17"/>
      <c r="B47" s="17"/>
      <c r="D47" s="18"/>
      <c r="E47" s="18"/>
      <c r="F47" s="18"/>
      <c r="G47" s="18"/>
      <c r="H47" s="49"/>
      <c r="I47" s="21"/>
      <c r="J47" s="22"/>
    </row>
    <row r="48" spans="1:10" ht="13.2" x14ac:dyDescent="0.25">
      <c r="A48" s="17"/>
      <c r="B48" s="17"/>
      <c r="D48" s="18"/>
      <c r="E48" s="18"/>
      <c r="F48" s="18"/>
      <c r="G48" s="18"/>
      <c r="H48" s="49"/>
      <c r="I48" s="21"/>
      <c r="J48" s="22"/>
    </row>
    <row r="49" spans="1:10" ht="13.2" x14ac:dyDescent="0.25">
      <c r="A49" s="17"/>
      <c r="B49" s="17"/>
      <c r="D49" s="18"/>
      <c r="E49" s="18"/>
      <c r="F49" s="18"/>
      <c r="G49" s="18"/>
      <c r="H49" s="49"/>
      <c r="I49" s="21"/>
      <c r="J49" s="22"/>
    </row>
    <row r="50" spans="1:10" ht="13.2" x14ac:dyDescent="0.25">
      <c r="A50" s="17"/>
      <c r="B50" s="17"/>
      <c r="D50" s="18"/>
      <c r="E50" s="18"/>
      <c r="F50" s="18"/>
      <c r="G50" s="18"/>
      <c r="H50" s="49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3.2" x14ac:dyDescent="0.25">
      <c r="A52" s="17"/>
      <c r="B52" s="17"/>
      <c r="D52" s="18"/>
      <c r="E52" s="18"/>
      <c r="F52" s="18"/>
      <c r="G52" s="18"/>
      <c r="H52" s="49"/>
      <c r="I52" s="21"/>
      <c r="J52" s="22"/>
    </row>
    <row r="53" spans="1:10" ht="13.2" x14ac:dyDescent="0.25">
      <c r="A53" s="17"/>
      <c r="B53" s="17"/>
      <c r="D53" s="18"/>
      <c r="E53" s="18"/>
      <c r="F53" s="18"/>
      <c r="G53" s="18"/>
      <c r="H53" s="49"/>
      <c r="I53" s="21"/>
      <c r="J53" s="22"/>
    </row>
    <row r="54" spans="1:10" ht="13.2" x14ac:dyDescent="0.25">
      <c r="A54" s="17"/>
      <c r="B54" s="17"/>
      <c r="D54" s="18"/>
      <c r="E54" s="18"/>
      <c r="F54" s="18"/>
      <c r="G54" s="18"/>
      <c r="H54" s="49"/>
      <c r="I54" s="21"/>
      <c r="J54" s="22"/>
    </row>
    <row r="55" spans="1:10" ht="13.2" x14ac:dyDescent="0.25">
      <c r="A55" s="17"/>
      <c r="B55" s="17"/>
      <c r="D55" s="18"/>
      <c r="E55" s="18"/>
      <c r="F55" s="18"/>
      <c r="G55" s="18"/>
      <c r="H55" s="49"/>
      <c r="I55" s="21"/>
      <c r="J55" s="22"/>
    </row>
    <row r="56" spans="1:10" ht="13.2" x14ac:dyDescent="0.25">
      <c r="A56" s="17"/>
      <c r="B56" s="17"/>
      <c r="D56" s="18"/>
      <c r="E56" s="18"/>
      <c r="F56" s="18"/>
      <c r="G56" s="18"/>
      <c r="H56" s="49"/>
      <c r="I56" s="21"/>
      <c r="J56" s="22"/>
    </row>
    <row r="57" spans="1:10" ht="13.2" x14ac:dyDescent="0.25">
      <c r="A57" s="17"/>
      <c r="B57" s="17"/>
      <c r="D57" s="18"/>
      <c r="E57" s="18"/>
      <c r="F57" s="18"/>
      <c r="G57" s="18"/>
      <c r="H57" s="49"/>
      <c r="I57" s="21"/>
      <c r="J57" s="22"/>
    </row>
    <row r="58" spans="1:10" ht="13.2" x14ac:dyDescent="0.25">
      <c r="A58" s="17"/>
      <c r="B58" s="17"/>
      <c r="D58" s="18"/>
      <c r="E58" s="18"/>
      <c r="F58" s="18"/>
      <c r="G58" s="18"/>
      <c r="H58" s="49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3.2" x14ac:dyDescent="0.25">
      <c r="A60" s="17"/>
      <c r="B60" s="17"/>
      <c r="D60" s="18"/>
      <c r="E60" s="18"/>
      <c r="F60" s="18"/>
      <c r="G60" s="18"/>
      <c r="H60" s="49"/>
      <c r="I60" s="21"/>
      <c r="J60" s="22"/>
    </row>
    <row r="61" spans="1:10" ht="13.2" x14ac:dyDescent="0.25">
      <c r="A61" s="17"/>
      <c r="B61" s="17"/>
      <c r="D61" s="18"/>
      <c r="E61" s="18"/>
      <c r="F61" s="18"/>
      <c r="G61" s="18"/>
      <c r="H61" s="49"/>
      <c r="I61" s="21"/>
      <c r="J61" s="22"/>
    </row>
    <row r="62" spans="1:10" ht="13.2" x14ac:dyDescent="0.25">
      <c r="A62" s="17"/>
      <c r="B62" s="17"/>
      <c r="D62" s="18"/>
      <c r="E62" s="18"/>
      <c r="F62" s="18"/>
      <c r="G62" s="18"/>
      <c r="H62" s="49"/>
      <c r="I62" s="21"/>
      <c r="J62" s="22"/>
    </row>
    <row r="63" spans="1:10" ht="13.2" x14ac:dyDescent="0.25">
      <c r="A63" s="17"/>
      <c r="B63" s="17"/>
      <c r="D63" s="18"/>
      <c r="E63" s="18"/>
      <c r="F63" s="18"/>
      <c r="G63" s="18"/>
      <c r="H63" s="49"/>
      <c r="I63" s="21"/>
      <c r="J63" s="22"/>
    </row>
    <row r="64" spans="1:10" ht="13.2" x14ac:dyDescent="0.25">
      <c r="A64" s="17"/>
      <c r="B64" s="17"/>
      <c r="D64" s="18"/>
      <c r="E64" s="18"/>
      <c r="F64" s="18"/>
      <c r="G64" s="18"/>
      <c r="H64" s="49"/>
      <c r="I64" s="21"/>
      <c r="J64" s="22"/>
    </row>
    <row r="65" spans="1:10" ht="13.2" x14ac:dyDescent="0.25">
      <c r="A65" s="17"/>
      <c r="B65" s="17"/>
      <c r="D65" s="18"/>
      <c r="E65" s="18"/>
      <c r="F65" s="18"/>
      <c r="G65" s="18"/>
      <c r="H65" s="49"/>
      <c r="I65" s="21"/>
      <c r="J65" s="22"/>
    </row>
    <row r="66" spans="1:10" ht="13.2" x14ac:dyDescent="0.25">
      <c r="A66" s="17"/>
      <c r="B66" s="17"/>
      <c r="D66" s="18"/>
      <c r="E66" s="18"/>
      <c r="F66" s="18"/>
      <c r="G66" s="18"/>
      <c r="H66" s="49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49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49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49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49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49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49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49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49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49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49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49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49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49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49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49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49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49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49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49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49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49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49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49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49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49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49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49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49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49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49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49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49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49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49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49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49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49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49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49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49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49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49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49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49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49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49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49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49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49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49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49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49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49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49"/>
      <c r="I791" s="21"/>
      <c r="J791" s="22"/>
    </row>
  </sheetData>
  <mergeCells count="4">
    <mergeCell ref="B4:G4"/>
    <mergeCell ref="B12:G12"/>
    <mergeCell ref="B20:G20"/>
    <mergeCell ref="B28:G28"/>
  </mergeCells>
  <conditionalFormatting sqref="L13">
    <cfRule type="notContainsBlanks" dxfId="6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" xr:uid="{00000000-0002-0000-0300-000000000000}">
      <formula1>OR(D5 = "2006", D5="2007",  D5="2008", D5="2009", D5="2010", D5="2011")</formula1>
    </dataValidation>
    <dataValidation type="custom" allowBlank="1" showDropDown="1" showInputMessage="1" showErrorMessage="1" prompt="Csak szám, (12,33), x. és - jel használható!" sqref="E5:G9 E13:G17 E21:G25 E29:G33" xr:uid="{00000000-0002-0000-0300-000001000000}">
      <formula1>REGEXMATCH(E5,"^\d{1,2},\d{2}$|^x$|^X$|^-$")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73763"/>
    <outlinePr summaryBelow="0" summaryRight="0"/>
  </sheetPr>
  <dimension ref="A1:AA841"/>
  <sheetViews>
    <sheetView workbookViewId="0">
      <pane ySplit="3" topLeftCell="A4" activePane="bottomLeft" state="frozen"/>
      <selection pane="bottomLeft" activeCell="M9" sqref="M9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1" t="s">
        <v>338</v>
      </c>
      <c r="B1" s="2"/>
      <c r="C1" s="3"/>
      <c r="D1" s="4"/>
      <c r="E1" s="5"/>
      <c r="F1" s="5"/>
      <c r="G1" s="5"/>
      <c r="H1" s="46"/>
      <c r="I1" s="47"/>
      <c r="J1" s="8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8</v>
      </c>
      <c r="C4" s="73"/>
      <c r="D4" s="73"/>
      <c r="E4" s="73"/>
      <c r="F4" s="73"/>
      <c r="G4" s="73"/>
      <c r="H4" s="50"/>
      <c r="I4" s="25">
        <f ca="1">IF(COUNTIFS(H5:H9,"&gt;0") &gt; 3, FLOOR((SUM(H5:H9)-MIN(H5,H6,H7,H8,H9))/4,0.0001), )</f>
        <v>37.362500000000004</v>
      </c>
      <c r="J4" s="26">
        <f ca="1">IF(I4=0,"",RANK(I4,$I$4:$I$43,))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17</v>
      </c>
      <c r="D5" s="30" t="s">
        <v>18</v>
      </c>
      <c r="E5" s="51" t="s">
        <v>339</v>
      </c>
      <c r="F5" s="51" t="s">
        <v>314</v>
      </c>
      <c r="G5" s="51" t="s">
        <v>314</v>
      </c>
      <c r="H5" s="52">
        <f ca="1">IFERROR(__xludf.DUMMYFUNCTION("MAX(IF(REGEXMATCH(E5,""^\d{1,2},\d{2}$""),VALUE(E5),0),IF(REGEXMATCH(F5,""^\d{1,2},\d{2}$""),VALUE(F5),0),IF(REGEXMATCH(G5,""^\d{1,2},\d{2}$""),VALUE(G5),0))"),36.67)</f>
        <v>36.67</v>
      </c>
      <c r="I5" s="21"/>
      <c r="J5" s="22"/>
    </row>
    <row r="6" spans="1:27" ht="18.75" customHeight="1" x14ac:dyDescent="0.25">
      <c r="A6" s="17"/>
      <c r="B6" s="28">
        <v>2</v>
      </c>
      <c r="C6" s="29" t="s">
        <v>9</v>
      </c>
      <c r="D6" s="30" t="s">
        <v>10</v>
      </c>
      <c r="E6" s="51" t="s">
        <v>340</v>
      </c>
      <c r="F6" s="51" t="s">
        <v>314</v>
      </c>
      <c r="G6" s="51" t="s">
        <v>314</v>
      </c>
      <c r="H6" s="52">
        <f ca="1">IFERROR(__xludf.DUMMYFUNCTION("MAX(IF(REGEXMATCH(E6,""^\d{1,2},\d{2}$""),VALUE(E6),0),IF(REGEXMATCH(F6,""^\d{1,2},\d{2}$""),VALUE(F6),0),IF(REGEXMATCH(G6,""^\d{1,2},\d{2}$""),VALUE(G6),0))"),31.39)</f>
        <v>31.39</v>
      </c>
      <c r="I6" s="21"/>
      <c r="J6" s="22"/>
    </row>
    <row r="7" spans="1:27" ht="18.75" customHeight="1" x14ac:dyDescent="0.25">
      <c r="A7" s="17"/>
      <c r="B7" s="28">
        <v>3</v>
      </c>
      <c r="C7" s="29" t="s">
        <v>341</v>
      </c>
      <c r="D7" s="30" t="s">
        <v>10</v>
      </c>
      <c r="E7" s="51" t="s">
        <v>342</v>
      </c>
      <c r="F7" s="51" t="s">
        <v>314</v>
      </c>
      <c r="G7" s="51" t="s">
        <v>314</v>
      </c>
      <c r="H7" s="52">
        <f ca="1">IFERROR(__xludf.DUMMYFUNCTION("MAX(IF(REGEXMATCH(E7,""^\d{1,2},\d{2}$""),VALUE(E7),0),IF(REGEXMATCH(F7,""^\d{1,2},\d{2}$""),VALUE(F7),0),IF(REGEXMATCH(G7,""^\d{1,2},\d{2}$""),VALUE(G7),0))"),42.43)</f>
        <v>42.43</v>
      </c>
      <c r="I7" s="21"/>
      <c r="J7" s="22"/>
    </row>
    <row r="8" spans="1:27" ht="18.75" customHeight="1" x14ac:dyDescent="0.25">
      <c r="A8" s="17"/>
      <c r="B8" s="28">
        <v>4</v>
      </c>
      <c r="C8" s="29" t="s">
        <v>343</v>
      </c>
      <c r="D8" s="30" t="s">
        <v>10</v>
      </c>
      <c r="E8" s="51" t="s">
        <v>344</v>
      </c>
      <c r="F8" s="51" t="s">
        <v>314</v>
      </c>
      <c r="G8" s="51" t="s">
        <v>314</v>
      </c>
      <c r="H8" s="52">
        <f ca="1">IFERROR(__xludf.DUMMYFUNCTION("MAX(IF(REGEXMATCH(E8,""^\d{1,2},\d{2}$""),VALUE(E8),0),IF(REGEXMATCH(F8,""^\d{1,2},\d{2}$""),VALUE(F8),0),IF(REGEXMATCH(G8,""^\d{1,2},\d{2}$""),VALUE(G8),0))"),38.96)</f>
        <v>38.96</v>
      </c>
      <c r="I8" s="21"/>
      <c r="J8" s="22"/>
    </row>
    <row r="9" spans="1:27" ht="18.75" customHeight="1" x14ac:dyDescent="0.25">
      <c r="A9" s="17"/>
      <c r="B9" s="28">
        <v>5</v>
      </c>
      <c r="C9" s="29"/>
      <c r="D9" s="30"/>
      <c r="E9" s="51"/>
      <c r="F9" s="51"/>
      <c r="G9" s="51"/>
      <c r="H9" s="52">
        <f ca="1">IFERROR(__xludf.DUMMYFUNCTION("MAX(IF(REGEXMATCH(E9,""^\d{1,2},\d{2}$""),VALUE(E9),0),IF(REGEXMATCH(F9,""^\d{1,2},\d{2}$""),VALUE(F9),0),IF(REGEXMATCH(G9,""^\d{1,2},\d{2}$""),VALUE(G9),0))"),0)</f>
        <v>0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23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345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34.274999999999999</v>
      </c>
      <c r="J12" s="26">
        <f ca="1">IF(I12=0,"",RANK(I12,$I$4:$I$43,))</f>
        <v>2</v>
      </c>
    </row>
    <row r="13" spans="1:27" ht="18.75" customHeight="1" x14ac:dyDescent="0.25">
      <c r="A13" s="17"/>
      <c r="B13" s="28">
        <v>1</v>
      </c>
      <c r="C13" s="29" t="s">
        <v>346</v>
      </c>
      <c r="D13" s="44" t="s">
        <v>10</v>
      </c>
      <c r="E13" s="51" t="s">
        <v>347</v>
      </c>
      <c r="F13" s="51"/>
      <c r="G13" s="51"/>
      <c r="H13" s="52">
        <f ca="1">IFERROR(__xludf.DUMMYFUNCTION("MAX(IF(REGEXMATCH(E13,""^\d{1,2},\d{2}$""),VALUE(E13),0),IF(REGEXMATCH(F13,""^\d{1,2},\d{2}$""),VALUE(F13),0),IF(REGEXMATCH(G13,""^\d{1,2},\d{2}$""),VALUE(G13),0))"),30.69)</f>
        <v>30.69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47</v>
      </c>
      <c r="D14" s="44" t="s">
        <v>26</v>
      </c>
      <c r="E14" s="51" t="s">
        <v>348</v>
      </c>
      <c r="F14" s="51"/>
      <c r="G14" s="51"/>
      <c r="H14" s="52">
        <f ca="1">IFERROR(__xludf.DUMMYFUNCTION("MAX(IF(REGEXMATCH(E14,""^\d{1,2},\d{2}$""),VALUE(E14),0),IF(REGEXMATCH(F14,""^\d{1,2},\d{2}$""),VALUE(F14),0),IF(REGEXMATCH(G14,""^\d{1,2},\d{2}$""),VALUE(G14),0))"),24.12)</f>
        <v>24.12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349</v>
      </c>
      <c r="D15" s="44" t="s">
        <v>10</v>
      </c>
      <c r="E15" s="51" t="s">
        <v>350</v>
      </c>
      <c r="F15" s="51"/>
      <c r="G15" s="51"/>
      <c r="H15" s="52">
        <f ca="1">IFERROR(__xludf.DUMMYFUNCTION("MAX(IF(REGEXMATCH(E15,""^\d{1,2},\d{2}$""),VALUE(E15),0),IF(REGEXMATCH(F15,""^\d{1,2},\d{2}$""),VALUE(F15),0),IF(REGEXMATCH(G15,""^\d{1,2},\d{2}$""),VALUE(G15),0))"),35.87)</f>
        <v>35.869999999999997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351</v>
      </c>
      <c r="D16" s="44" t="s">
        <v>10</v>
      </c>
      <c r="E16" s="51" t="s">
        <v>352</v>
      </c>
      <c r="F16" s="51"/>
      <c r="G16" s="51"/>
      <c r="H16" s="52">
        <f ca="1">IFERROR(__xludf.DUMMYFUNCTION("MAX(IF(REGEXMATCH(E16,""^\d{1,2},\d{2}$""),VALUE(E16),0),IF(REGEXMATCH(F16,""^\d{1,2},\d{2}$""),VALUE(F16),0),IF(REGEXMATCH(G16,""^\d{1,2},\d{2}$""),VALUE(G16),0))"),36.17)</f>
        <v>36.17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353</v>
      </c>
      <c r="D17" s="44" t="s">
        <v>18</v>
      </c>
      <c r="E17" s="51" t="s">
        <v>354</v>
      </c>
      <c r="F17" s="51"/>
      <c r="G17" s="51"/>
      <c r="H17" s="52">
        <f ca="1">IFERROR(__xludf.DUMMYFUNCTION("MAX(IF(REGEXMATCH(E17,""^\d{1,2},\d{2}$""),VALUE(E17),0),IF(REGEXMATCH(F17,""^\d{1,2},\d{2}$""),VALUE(F17),0),IF(REGEXMATCH(G17,""^\d{1,2},\d{2}$""),VALUE(G17),0))"),34.37)</f>
        <v>34.369999999999997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34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58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30.602500000000003</v>
      </c>
      <c r="J20" s="26">
        <f ca="1">IF(I20=0,"",RANK(I20,$I$4:$I$43,))</f>
        <v>3</v>
      </c>
    </row>
    <row r="21" spans="1:10" ht="13.2" x14ac:dyDescent="0.25">
      <c r="A21" s="17"/>
      <c r="B21" s="28">
        <v>1</v>
      </c>
      <c r="C21" s="29" t="s">
        <v>230</v>
      </c>
      <c r="D21" s="44" t="s">
        <v>32</v>
      </c>
      <c r="E21" s="51" t="s">
        <v>355</v>
      </c>
      <c r="F21" s="51"/>
      <c r="G21" s="51"/>
      <c r="H21" s="52">
        <f ca="1">IFERROR(__xludf.DUMMYFUNCTION("MAX(IF(REGEXMATCH(E21,""^\d{1,2},\d{2}$""),VALUE(E21),0),IF(REGEXMATCH(F21,""^\d{1,2},\d{2}$""),VALUE(F21),0),IF(REGEXMATCH(G21,""^\d{1,2},\d{2}$""),VALUE(G21),0))"),36.91)</f>
        <v>36.909999999999997</v>
      </c>
      <c r="I21" s="21"/>
      <c r="J21" s="22"/>
    </row>
    <row r="22" spans="1:10" ht="13.2" x14ac:dyDescent="0.25">
      <c r="A22" s="17"/>
      <c r="B22" s="28">
        <v>2</v>
      </c>
      <c r="C22" s="29" t="s">
        <v>232</v>
      </c>
      <c r="D22" s="44" t="s">
        <v>32</v>
      </c>
      <c r="E22" s="51" t="s">
        <v>356</v>
      </c>
      <c r="F22" s="51"/>
      <c r="G22" s="51"/>
      <c r="H22" s="52">
        <f ca="1">IFERROR(__xludf.DUMMYFUNCTION("MAX(IF(REGEXMATCH(E22,""^\d{1,2},\d{2}$""),VALUE(E22),0),IF(REGEXMATCH(F22,""^\d{1,2},\d{2}$""),VALUE(F22),0),IF(REGEXMATCH(G22,""^\d{1,2},\d{2}$""),VALUE(G22),0))"),31.22)</f>
        <v>31.22</v>
      </c>
      <c r="I22" s="21"/>
      <c r="J22" s="22"/>
    </row>
    <row r="23" spans="1:10" ht="13.2" x14ac:dyDescent="0.25">
      <c r="A23" s="17"/>
      <c r="B23" s="28">
        <v>3</v>
      </c>
      <c r="C23" s="29" t="s">
        <v>226</v>
      </c>
      <c r="D23" s="44" t="s">
        <v>10</v>
      </c>
      <c r="E23" s="51" t="s">
        <v>357</v>
      </c>
      <c r="F23" s="51"/>
      <c r="G23" s="51"/>
      <c r="H23" s="52">
        <f ca="1">IFERROR(__xludf.DUMMYFUNCTION("MAX(IF(REGEXMATCH(E23,""^\d{1,2},\d{2}$""),VALUE(E23),0),IF(REGEXMATCH(F23,""^\d{1,2},\d{2}$""),VALUE(F23),0),IF(REGEXMATCH(G23,""^\d{1,2},\d{2}$""),VALUE(G23),0))"),29.18)</f>
        <v>29.18</v>
      </c>
      <c r="I23" s="21"/>
      <c r="J23" s="22"/>
    </row>
    <row r="24" spans="1:10" ht="13.2" x14ac:dyDescent="0.25">
      <c r="A24" s="17"/>
      <c r="B24" s="28">
        <v>4</v>
      </c>
      <c r="C24" s="29" t="s">
        <v>358</v>
      </c>
      <c r="D24" s="44" t="s">
        <v>18</v>
      </c>
      <c r="E24" s="51" t="s">
        <v>359</v>
      </c>
      <c r="F24" s="51"/>
      <c r="G24" s="51"/>
      <c r="H24" s="52">
        <f ca="1">IFERROR(__xludf.DUMMYFUNCTION("MAX(IF(REGEXMATCH(E24,""^\d{1,2},\d{2}$""),VALUE(E24),0),IF(REGEXMATCH(F24,""^\d{1,2},\d{2}$""),VALUE(F24),0),IF(REGEXMATCH(G24,""^\d{1,2},\d{2}$""),VALUE(G24),0))"),25.1)</f>
        <v>25.1</v>
      </c>
      <c r="I24" s="21"/>
      <c r="J24" s="22"/>
    </row>
    <row r="25" spans="1:10" ht="13.2" x14ac:dyDescent="0.25">
      <c r="A25" s="17"/>
      <c r="B25" s="28">
        <v>5</v>
      </c>
      <c r="C25" s="29" t="s">
        <v>360</v>
      </c>
      <c r="D25" s="44" t="s">
        <v>32</v>
      </c>
      <c r="E25" s="51" t="s">
        <v>361</v>
      </c>
      <c r="F25" s="51"/>
      <c r="G25" s="51"/>
      <c r="H25" s="52">
        <f ca="1">IFERROR(__xludf.DUMMYFUNCTION("MAX(IF(REGEXMATCH(E25,""^\d{1,2},\d{2}$""),VALUE(E25),0),IF(REGEXMATCH(F25,""^\d{1,2},\d{2}$""),VALUE(F25),0),IF(REGEXMATCH(G25,""^\d{1,2},\d{2}$""),VALUE(G25),0))"),24.07)</f>
        <v>24.07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63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35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27.970000000000002</v>
      </c>
      <c r="J28" s="26">
        <f ca="1">IF(I28=0,"",RANK(I28,$I$4:$I$43,))</f>
        <v>4</v>
      </c>
    </row>
    <row r="29" spans="1:10" ht="13.2" x14ac:dyDescent="0.25">
      <c r="A29" s="17"/>
      <c r="B29" s="28">
        <v>1</v>
      </c>
      <c r="C29" s="29" t="s">
        <v>218</v>
      </c>
      <c r="D29" s="44" t="s">
        <v>32</v>
      </c>
      <c r="E29" s="51" t="s">
        <v>362</v>
      </c>
      <c r="F29" s="51"/>
      <c r="G29" s="51"/>
      <c r="H29" s="52">
        <f ca="1">IFERROR(__xludf.DUMMYFUNCTION("MAX(IF(REGEXMATCH(E29,""^\d{1,2},\d{2}$""),VALUE(E29),0),IF(REGEXMATCH(F29,""^\d{1,2},\d{2}$""),VALUE(F29),0),IF(REGEXMATCH(G29,""^\d{1,2},\d{2}$""),VALUE(G29),0))"),34.09)</f>
        <v>34.090000000000003</v>
      </c>
      <c r="I29" s="21"/>
      <c r="J29" s="22"/>
    </row>
    <row r="30" spans="1:10" ht="13.2" x14ac:dyDescent="0.25">
      <c r="A30" s="17"/>
      <c r="B30" s="28">
        <v>2</v>
      </c>
      <c r="C30" s="29" t="s">
        <v>208</v>
      </c>
      <c r="D30" s="44" t="s">
        <v>10</v>
      </c>
      <c r="E30" s="51" t="s">
        <v>363</v>
      </c>
      <c r="F30" s="51"/>
      <c r="G30" s="51"/>
      <c r="H30" s="52">
        <f ca="1">IFERROR(__xludf.DUMMYFUNCTION("MAX(IF(REGEXMATCH(E30,""^\d{1,2},\d{2}$""),VALUE(E30),0),IF(REGEXMATCH(F30,""^\d{1,2},\d{2}$""),VALUE(F30),0),IF(REGEXMATCH(G30,""^\d{1,2},\d{2}$""),VALUE(G30),0))"),30.31)</f>
        <v>30.31</v>
      </c>
      <c r="I30" s="21"/>
      <c r="J30" s="22"/>
    </row>
    <row r="31" spans="1:10" ht="13.2" x14ac:dyDescent="0.25">
      <c r="A31" s="17"/>
      <c r="B31" s="28">
        <v>3</v>
      </c>
      <c r="C31" s="29" t="s">
        <v>364</v>
      </c>
      <c r="D31" s="44" t="s">
        <v>26</v>
      </c>
      <c r="E31" s="51" t="s">
        <v>365</v>
      </c>
      <c r="F31" s="51"/>
      <c r="G31" s="51"/>
      <c r="H31" s="52">
        <f ca="1">IFERROR(__xludf.DUMMYFUNCTION("MAX(IF(REGEXMATCH(E31,""^\d{1,2},\d{2}$""),VALUE(E31),0),IF(REGEXMATCH(F31,""^\d{1,2},\d{2}$""),VALUE(F31),0),IF(REGEXMATCH(G31,""^\d{1,2},\d{2}$""),VALUE(G31),0))"),21.76)</f>
        <v>21.76</v>
      </c>
      <c r="I31" s="21"/>
      <c r="J31" s="22"/>
    </row>
    <row r="32" spans="1:10" ht="13.2" x14ac:dyDescent="0.25">
      <c r="A32" s="17"/>
      <c r="B32" s="28">
        <v>4</v>
      </c>
      <c r="C32" s="29" t="s">
        <v>366</v>
      </c>
      <c r="D32" s="44" t="s">
        <v>15</v>
      </c>
      <c r="E32" s="51" t="s">
        <v>367</v>
      </c>
      <c r="F32" s="51"/>
      <c r="G32" s="51"/>
      <c r="H32" s="52">
        <f ca="1">IFERROR(__xludf.DUMMYFUNCTION("MAX(IF(REGEXMATCH(E32,""^\d{1,2},\d{2}$""),VALUE(E32),0),IF(REGEXMATCH(F32,""^\d{1,2},\d{2}$""),VALUE(F32),0),IF(REGEXMATCH(G32,""^\d{1,2},\d{2}$""),VALUE(G32),0))"),25.72)</f>
        <v>25.72</v>
      </c>
      <c r="I32" s="21"/>
      <c r="J32" s="22"/>
    </row>
    <row r="33" spans="1:10" ht="13.2" x14ac:dyDescent="0.25">
      <c r="A33" s="17"/>
      <c r="B33" s="28">
        <v>5</v>
      </c>
      <c r="C33" s="29"/>
      <c r="D33" s="44"/>
      <c r="E33" s="51"/>
      <c r="F33" s="51"/>
      <c r="G33" s="51"/>
      <c r="H33" s="52">
        <f ca="1">IFERROR(__xludf.DUMMYFUNCTION("MAX(IF(REGEXMATCH(E33,""^\d{1,2},\d{2}$""),VALUE(E33),0),IF(REGEXMATCH(F33,""^\d{1,2},\d{2}$""),VALUE(F33),0),IF(REGEXMATCH(G33,""^\d{1,2},\d{2}$""),VALUE(G33),0))"),0)</f>
        <v>0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45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5.6" x14ac:dyDescent="0.25">
      <c r="A36" s="23">
        <v>5</v>
      </c>
      <c r="B36" s="72" t="s">
        <v>368</v>
      </c>
      <c r="C36" s="73"/>
      <c r="D36" s="73"/>
      <c r="E36" s="73"/>
      <c r="F36" s="73"/>
      <c r="G36" s="73"/>
      <c r="H36" s="50"/>
      <c r="I36" s="25">
        <f ca="1">IF(COUNTIFS(H37:H41,"&gt;0") &gt; 3, FLOOR((SUM(H37:H41)-MIN(H37,H38,H39,H40,H41))/4,0.0001), )</f>
        <v>26.327500000000001</v>
      </c>
      <c r="J36" s="26">
        <f ca="1">IF(I36=0,"",RANK(I36,$I$4:$I$43,))</f>
        <v>5</v>
      </c>
    </row>
    <row r="37" spans="1:10" ht="13.2" x14ac:dyDescent="0.25">
      <c r="A37" s="17"/>
      <c r="B37" s="28">
        <v>1</v>
      </c>
      <c r="C37" s="29" t="s">
        <v>369</v>
      </c>
      <c r="D37" s="44" t="s">
        <v>15</v>
      </c>
      <c r="E37" s="51" t="s">
        <v>370</v>
      </c>
      <c r="F37" s="51"/>
      <c r="G37" s="51"/>
      <c r="H37" s="52">
        <f ca="1">IFERROR(__xludf.DUMMYFUNCTION("MAX(IF(REGEXMATCH(E37,""^\d{1,2},\d{2}$""),VALUE(E37),0),IF(REGEXMATCH(F37,""^\d{1,2},\d{2}$""),VALUE(F37),0),IF(REGEXMATCH(G37,""^\d{1,2},\d{2}$""),VALUE(G37),0))"),32.2)</f>
        <v>32.200000000000003</v>
      </c>
      <c r="I37" s="21"/>
      <c r="J37" s="22"/>
    </row>
    <row r="38" spans="1:10" ht="13.2" x14ac:dyDescent="0.25">
      <c r="A38" s="17"/>
      <c r="B38" s="28">
        <v>2</v>
      </c>
      <c r="C38" s="29" t="s">
        <v>371</v>
      </c>
      <c r="D38" s="44" t="s">
        <v>26</v>
      </c>
      <c r="E38" s="51" t="s">
        <v>372</v>
      </c>
      <c r="F38" s="51"/>
      <c r="G38" s="51"/>
      <c r="H38" s="52">
        <f ca="1">IFERROR(__xludf.DUMMYFUNCTION("MAX(IF(REGEXMATCH(E38,""^\d{1,2},\d{2}$""),VALUE(E38),0),IF(REGEXMATCH(F38,""^\d{1,2},\d{2}$""),VALUE(F38),0),IF(REGEXMATCH(G38,""^\d{1,2},\d{2}$""),VALUE(G38),0))"),21.84)</f>
        <v>21.84</v>
      </c>
      <c r="I38" s="21"/>
      <c r="J38" s="22"/>
    </row>
    <row r="39" spans="1:10" ht="13.2" x14ac:dyDescent="0.25">
      <c r="A39" s="17"/>
      <c r="B39" s="28">
        <v>3</v>
      </c>
      <c r="C39" s="29" t="s">
        <v>373</v>
      </c>
      <c r="D39" s="44" t="s">
        <v>32</v>
      </c>
      <c r="E39" s="51" t="s">
        <v>374</v>
      </c>
      <c r="F39" s="51"/>
      <c r="G39" s="51"/>
      <c r="H39" s="52">
        <f ca="1">IFERROR(__xludf.DUMMYFUNCTION("MAX(IF(REGEXMATCH(E39,""^\d{1,2},\d{2}$""),VALUE(E39),0),IF(REGEXMATCH(F39,""^\d{1,2},\d{2}$""),VALUE(F39),0),IF(REGEXMATCH(G39,""^\d{1,2},\d{2}$""),VALUE(G39),0))"),23.33)</f>
        <v>23.33</v>
      </c>
      <c r="I39" s="21"/>
      <c r="J39" s="22"/>
    </row>
    <row r="40" spans="1:10" ht="13.2" x14ac:dyDescent="0.25">
      <c r="A40" s="17"/>
      <c r="B40" s="28">
        <v>4</v>
      </c>
      <c r="C40" s="29" t="s">
        <v>375</v>
      </c>
      <c r="D40" s="44" t="s">
        <v>32</v>
      </c>
      <c r="E40" s="51" t="s">
        <v>376</v>
      </c>
      <c r="F40" s="51"/>
      <c r="G40" s="51"/>
      <c r="H40" s="52">
        <f ca="1">IFERROR(__xludf.DUMMYFUNCTION("MAX(IF(REGEXMATCH(E40,""^\d{1,2},\d{2}$""),VALUE(E40),0),IF(REGEXMATCH(F40,""^\d{1,2},\d{2}$""),VALUE(F40),0),IF(REGEXMATCH(G40,""^\d{1,2},\d{2}$""),VALUE(G40),0))"),27.94)</f>
        <v>27.94</v>
      </c>
      <c r="I40" s="21"/>
      <c r="J40" s="22"/>
    </row>
    <row r="41" spans="1:10" ht="13.2" x14ac:dyDescent="0.25">
      <c r="A41" s="17"/>
      <c r="B41" s="28">
        <v>5</v>
      </c>
      <c r="C41" s="29"/>
      <c r="D41" s="44"/>
      <c r="E41" s="51"/>
      <c r="F41" s="51"/>
      <c r="G41" s="51"/>
      <c r="H41" s="52">
        <f ca="1">IFERROR(__xludf.DUMMYFUNCTION("MAX(IF(REGEXMATCH(E41,""^\d{1,2},\d{2}$""),VALUE(E41),0),IF(REGEXMATCH(F41,""^\d{1,2},\d{2}$""),VALUE(F41),0),IF(REGEXMATCH(G41,""^\d{1,2},\d{2}$""),VALUE(G41),0))"),0)</f>
        <v>0</v>
      </c>
      <c r="I41" s="21"/>
      <c r="J41" s="22"/>
    </row>
    <row r="42" spans="1:10" ht="13.2" x14ac:dyDescent="0.25">
      <c r="A42" s="17"/>
      <c r="B42" s="53" t="s">
        <v>22</v>
      </c>
      <c r="C42" s="36"/>
      <c r="D42" s="37" t="s">
        <v>377</v>
      </c>
      <c r="E42" s="38"/>
      <c r="F42" s="38"/>
      <c r="G42" s="38"/>
      <c r="H42" s="55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3.2" x14ac:dyDescent="0.25">
      <c r="A44" s="17"/>
      <c r="B44" s="17"/>
      <c r="D44" s="18"/>
      <c r="E44" s="18"/>
      <c r="F44" s="18"/>
      <c r="G44" s="18"/>
      <c r="H44" s="49"/>
      <c r="I44" s="21"/>
      <c r="J44" s="22"/>
    </row>
    <row r="45" spans="1:10" ht="13.2" x14ac:dyDescent="0.25">
      <c r="A45" s="17"/>
      <c r="B45" s="17"/>
      <c r="D45" s="18"/>
      <c r="E45" s="18"/>
      <c r="F45" s="18"/>
      <c r="G45" s="18"/>
      <c r="H45" s="49"/>
      <c r="I45" s="21"/>
      <c r="J45" s="22"/>
    </row>
    <row r="46" spans="1:10" ht="13.2" x14ac:dyDescent="0.25">
      <c r="A46" s="17"/>
      <c r="B46" s="17"/>
      <c r="D46" s="18"/>
      <c r="E46" s="18"/>
      <c r="F46" s="18"/>
      <c r="G46" s="18"/>
      <c r="H46" s="49"/>
      <c r="I46" s="21"/>
      <c r="J46" s="22"/>
    </row>
    <row r="47" spans="1:10" ht="13.2" x14ac:dyDescent="0.25">
      <c r="A47" s="17"/>
      <c r="B47" s="17"/>
      <c r="D47" s="18"/>
      <c r="E47" s="18"/>
      <c r="F47" s="18"/>
      <c r="G47" s="18"/>
      <c r="H47" s="49"/>
      <c r="I47" s="21"/>
      <c r="J47" s="22"/>
    </row>
    <row r="48" spans="1:10" ht="13.2" x14ac:dyDescent="0.25">
      <c r="A48" s="17"/>
      <c r="B48" s="17"/>
      <c r="D48" s="18"/>
      <c r="E48" s="18"/>
      <c r="F48" s="18"/>
      <c r="G48" s="18"/>
      <c r="H48" s="49"/>
      <c r="I48" s="21"/>
      <c r="J48" s="22"/>
    </row>
    <row r="49" spans="1:10" ht="13.2" x14ac:dyDescent="0.25">
      <c r="A49" s="17"/>
      <c r="B49" s="17"/>
      <c r="D49" s="18"/>
      <c r="E49" s="18"/>
      <c r="F49" s="18"/>
      <c r="G49" s="18"/>
      <c r="H49" s="49"/>
      <c r="I49" s="21"/>
      <c r="J49" s="22"/>
    </row>
    <row r="50" spans="1:10" ht="13.2" x14ac:dyDescent="0.25">
      <c r="A50" s="17"/>
      <c r="B50" s="17"/>
      <c r="D50" s="18"/>
      <c r="E50" s="18"/>
      <c r="F50" s="18"/>
      <c r="G50" s="18"/>
      <c r="H50" s="49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3.2" x14ac:dyDescent="0.25">
      <c r="A52" s="17"/>
      <c r="B52" s="17"/>
      <c r="D52" s="18"/>
      <c r="E52" s="18"/>
      <c r="F52" s="18"/>
      <c r="G52" s="18"/>
      <c r="H52" s="49"/>
      <c r="I52" s="21"/>
      <c r="J52" s="22"/>
    </row>
    <row r="53" spans="1:10" ht="13.2" x14ac:dyDescent="0.25">
      <c r="A53" s="17"/>
      <c r="B53" s="17"/>
      <c r="D53" s="18"/>
      <c r="E53" s="18"/>
      <c r="F53" s="18"/>
      <c r="G53" s="18"/>
      <c r="H53" s="49"/>
      <c r="I53" s="21"/>
      <c r="J53" s="22"/>
    </row>
    <row r="54" spans="1:10" ht="13.2" x14ac:dyDescent="0.25">
      <c r="A54" s="17"/>
      <c r="B54" s="17"/>
      <c r="D54" s="18"/>
      <c r="E54" s="18"/>
      <c r="F54" s="18"/>
      <c r="G54" s="18"/>
      <c r="H54" s="49"/>
      <c r="I54" s="21"/>
      <c r="J54" s="22"/>
    </row>
    <row r="55" spans="1:10" ht="13.2" x14ac:dyDescent="0.25">
      <c r="A55" s="17"/>
      <c r="B55" s="17"/>
      <c r="D55" s="18"/>
      <c r="E55" s="18"/>
      <c r="F55" s="18"/>
      <c r="G55" s="18"/>
      <c r="H55" s="49"/>
      <c r="I55" s="21"/>
      <c r="J55" s="22"/>
    </row>
    <row r="56" spans="1:10" ht="13.2" x14ac:dyDescent="0.25">
      <c r="A56" s="17"/>
      <c r="B56" s="17"/>
      <c r="D56" s="18"/>
      <c r="E56" s="18"/>
      <c r="F56" s="18"/>
      <c r="G56" s="18"/>
      <c r="H56" s="49"/>
      <c r="I56" s="21"/>
      <c r="J56" s="22"/>
    </row>
    <row r="57" spans="1:10" ht="13.2" x14ac:dyDescent="0.25">
      <c r="A57" s="17"/>
      <c r="B57" s="17"/>
      <c r="D57" s="18"/>
      <c r="E57" s="18"/>
      <c r="F57" s="18"/>
      <c r="G57" s="18"/>
      <c r="H57" s="49"/>
      <c r="I57" s="21"/>
      <c r="J57" s="22"/>
    </row>
    <row r="58" spans="1:10" ht="13.2" x14ac:dyDescent="0.25">
      <c r="A58" s="17"/>
      <c r="B58" s="17"/>
      <c r="D58" s="18"/>
      <c r="E58" s="18"/>
      <c r="F58" s="18"/>
      <c r="G58" s="18"/>
      <c r="H58" s="49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3.2" x14ac:dyDescent="0.25">
      <c r="A60" s="17"/>
      <c r="B60" s="17"/>
      <c r="D60" s="18"/>
      <c r="E60" s="18"/>
      <c r="F60" s="18"/>
      <c r="G60" s="18"/>
      <c r="H60" s="49"/>
      <c r="I60" s="21"/>
      <c r="J60" s="22"/>
    </row>
    <row r="61" spans="1:10" ht="13.2" x14ac:dyDescent="0.25">
      <c r="A61" s="17"/>
      <c r="B61" s="17"/>
      <c r="D61" s="18"/>
      <c r="E61" s="18"/>
      <c r="F61" s="18"/>
      <c r="G61" s="18"/>
      <c r="H61" s="49"/>
      <c r="I61" s="21"/>
      <c r="J61" s="22"/>
    </row>
    <row r="62" spans="1:10" ht="13.2" x14ac:dyDescent="0.25">
      <c r="A62" s="17"/>
      <c r="B62" s="17"/>
      <c r="D62" s="18"/>
      <c r="E62" s="18"/>
      <c r="F62" s="18"/>
      <c r="G62" s="18"/>
      <c r="H62" s="49"/>
      <c r="I62" s="21"/>
      <c r="J62" s="22"/>
    </row>
    <row r="63" spans="1:10" ht="13.2" x14ac:dyDescent="0.25">
      <c r="A63" s="17"/>
      <c r="B63" s="17"/>
      <c r="D63" s="18"/>
      <c r="E63" s="18"/>
      <c r="F63" s="18"/>
      <c r="G63" s="18"/>
      <c r="H63" s="49"/>
      <c r="I63" s="21"/>
      <c r="J63" s="22"/>
    </row>
    <row r="64" spans="1:10" ht="13.2" x14ac:dyDescent="0.25">
      <c r="A64" s="17"/>
      <c r="B64" s="17"/>
      <c r="D64" s="18"/>
      <c r="E64" s="18"/>
      <c r="F64" s="18"/>
      <c r="G64" s="18"/>
      <c r="H64" s="49"/>
      <c r="I64" s="21"/>
      <c r="J64" s="22"/>
    </row>
    <row r="65" spans="1:10" ht="13.2" x14ac:dyDescent="0.25">
      <c r="A65" s="17"/>
      <c r="B65" s="17"/>
      <c r="D65" s="18"/>
      <c r="E65" s="18"/>
      <c r="F65" s="18"/>
      <c r="G65" s="18"/>
      <c r="H65" s="49"/>
      <c r="I65" s="21"/>
      <c r="J65" s="22"/>
    </row>
    <row r="66" spans="1:10" ht="13.2" x14ac:dyDescent="0.25">
      <c r="A66" s="17"/>
      <c r="B66" s="17"/>
      <c r="D66" s="18"/>
      <c r="E66" s="18"/>
      <c r="F66" s="18"/>
      <c r="G66" s="18"/>
      <c r="H66" s="49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  <row r="708" spans="1:10" ht="13.2" x14ac:dyDescent="0.25">
      <c r="A708" s="17"/>
      <c r="B708" s="17"/>
      <c r="D708" s="18"/>
      <c r="E708" s="18"/>
      <c r="F708" s="18"/>
      <c r="G708" s="18"/>
      <c r="H708" s="49"/>
      <c r="I708" s="21"/>
      <c r="J708" s="22"/>
    </row>
    <row r="709" spans="1:10" ht="13.2" x14ac:dyDescent="0.25">
      <c r="A709" s="17"/>
      <c r="B709" s="17"/>
      <c r="D709" s="18"/>
      <c r="E709" s="18"/>
      <c r="F709" s="18"/>
      <c r="G709" s="18"/>
      <c r="H709" s="49"/>
      <c r="I709" s="21"/>
      <c r="J709" s="22"/>
    </row>
    <row r="710" spans="1:10" ht="13.2" x14ac:dyDescent="0.25">
      <c r="A710" s="17"/>
      <c r="B710" s="17"/>
      <c r="D710" s="18"/>
      <c r="E710" s="18"/>
      <c r="F710" s="18"/>
      <c r="G710" s="18"/>
      <c r="H710" s="49"/>
      <c r="I710" s="21"/>
      <c r="J710" s="22"/>
    </row>
    <row r="711" spans="1:10" ht="13.2" x14ac:dyDescent="0.25">
      <c r="A711" s="17"/>
      <c r="B711" s="17"/>
      <c r="D711" s="18"/>
      <c r="E711" s="18"/>
      <c r="F711" s="18"/>
      <c r="G711" s="18"/>
      <c r="H711" s="49"/>
      <c r="I711" s="21"/>
      <c r="J711" s="22"/>
    </row>
    <row r="712" spans="1:10" ht="13.2" x14ac:dyDescent="0.25">
      <c r="A712" s="17"/>
      <c r="B712" s="17"/>
      <c r="D712" s="18"/>
      <c r="E712" s="18"/>
      <c r="F712" s="18"/>
      <c r="G712" s="18"/>
      <c r="H712" s="49"/>
      <c r="I712" s="21"/>
      <c r="J712" s="22"/>
    </row>
    <row r="713" spans="1:10" ht="13.2" x14ac:dyDescent="0.25">
      <c r="A713" s="17"/>
      <c r="B713" s="17"/>
      <c r="D713" s="18"/>
      <c r="E713" s="18"/>
      <c r="F713" s="18"/>
      <c r="G713" s="18"/>
      <c r="H713" s="49"/>
      <c r="I713" s="21"/>
      <c r="J713" s="22"/>
    </row>
    <row r="714" spans="1:10" ht="13.2" x14ac:dyDescent="0.25">
      <c r="A714" s="17"/>
      <c r="B714" s="17"/>
      <c r="D714" s="18"/>
      <c r="E714" s="18"/>
      <c r="F714" s="18"/>
      <c r="G714" s="18"/>
      <c r="H714" s="49"/>
      <c r="I714" s="21"/>
      <c r="J714" s="22"/>
    </row>
    <row r="715" spans="1:10" ht="13.2" x14ac:dyDescent="0.25">
      <c r="A715" s="17"/>
      <c r="B715" s="17"/>
      <c r="D715" s="18"/>
      <c r="E715" s="18"/>
      <c r="F715" s="18"/>
      <c r="G715" s="18"/>
      <c r="H715" s="49"/>
      <c r="I715" s="21"/>
      <c r="J715" s="22"/>
    </row>
    <row r="716" spans="1:10" ht="13.2" x14ac:dyDescent="0.25">
      <c r="A716" s="17"/>
      <c r="B716" s="17"/>
      <c r="D716" s="18"/>
      <c r="E716" s="18"/>
      <c r="F716" s="18"/>
      <c r="G716" s="18"/>
      <c r="H716" s="49"/>
      <c r="I716" s="21"/>
      <c r="J716" s="22"/>
    </row>
    <row r="717" spans="1:10" ht="13.2" x14ac:dyDescent="0.25">
      <c r="A717" s="17"/>
      <c r="B717" s="17"/>
      <c r="D717" s="18"/>
      <c r="E717" s="18"/>
      <c r="F717" s="18"/>
      <c r="G717" s="18"/>
      <c r="H717" s="49"/>
      <c r="I717" s="21"/>
      <c r="J717" s="22"/>
    </row>
    <row r="718" spans="1:10" ht="13.2" x14ac:dyDescent="0.25">
      <c r="A718" s="17"/>
      <c r="B718" s="17"/>
      <c r="D718" s="18"/>
      <c r="E718" s="18"/>
      <c r="F718" s="18"/>
      <c r="G718" s="18"/>
      <c r="H718" s="49"/>
      <c r="I718" s="21"/>
      <c r="J718" s="22"/>
    </row>
    <row r="719" spans="1:10" ht="13.2" x14ac:dyDescent="0.25">
      <c r="A719" s="17"/>
      <c r="B719" s="17"/>
      <c r="D719" s="18"/>
      <c r="E719" s="18"/>
      <c r="F719" s="18"/>
      <c r="G719" s="18"/>
      <c r="H719" s="49"/>
      <c r="I719" s="21"/>
      <c r="J719" s="22"/>
    </row>
    <row r="720" spans="1:10" ht="13.2" x14ac:dyDescent="0.25">
      <c r="A720" s="17"/>
      <c r="B720" s="17"/>
      <c r="D720" s="18"/>
      <c r="E720" s="18"/>
      <c r="F720" s="18"/>
      <c r="G720" s="18"/>
      <c r="H720" s="49"/>
      <c r="I720" s="21"/>
      <c r="J720" s="22"/>
    </row>
    <row r="721" spans="1:10" ht="13.2" x14ac:dyDescent="0.25">
      <c r="A721" s="17"/>
      <c r="B721" s="17"/>
      <c r="D721" s="18"/>
      <c r="E721" s="18"/>
      <c r="F721" s="18"/>
      <c r="G721" s="18"/>
      <c r="H721" s="49"/>
      <c r="I721" s="21"/>
      <c r="J721" s="22"/>
    </row>
    <row r="722" spans="1:10" ht="13.2" x14ac:dyDescent="0.25">
      <c r="A722" s="17"/>
      <c r="B722" s="17"/>
      <c r="D722" s="18"/>
      <c r="E722" s="18"/>
      <c r="F722" s="18"/>
      <c r="G722" s="18"/>
      <c r="H722" s="49"/>
      <c r="I722" s="21"/>
      <c r="J722" s="22"/>
    </row>
    <row r="723" spans="1:10" ht="13.2" x14ac:dyDescent="0.25">
      <c r="A723" s="17"/>
      <c r="B723" s="17"/>
      <c r="D723" s="18"/>
      <c r="E723" s="18"/>
      <c r="F723" s="18"/>
      <c r="G723" s="18"/>
      <c r="H723" s="49"/>
      <c r="I723" s="21"/>
      <c r="J723" s="22"/>
    </row>
    <row r="724" spans="1:10" ht="13.2" x14ac:dyDescent="0.25">
      <c r="A724" s="17"/>
      <c r="B724" s="17"/>
      <c r="D724" s="18"/>
      <c r="E724" s="18"/>
      <c r="F724" s="18"/>
      <c r="G724" s="18"/>
      <c r="H724" s="49"/>
      <c r="I724" s="21"/>
      <c r="J724" s="22"/>
    </row>
    <row r="725" spans="1:10" ht="13.2" x14ac:dyDescent="0.25">
      <c r="A725" s="17"/>
      <c r="B725" s="17"/>
      <c r="D725" s="18"/>
      <c r="E725" s="18"/>
      <c r="F725" s="18"/>
      <c r="G725" s="18"/>
      <c r="H725" s="49"/>
      <c r="I725" s="21"/>
      <c r="J725" s="22"/>
    </row>
    <row r="726" spans="1:10" ht="13.2" x14ac:dyDescent="0.25">
      <c r="A726" s="17"/>
      <c r="B726" s="17"/>
      <c r="D726" s="18"/>
      <c r="E726" s="18"/>
      <c r="F726" s="18"/>
      <c r="G726" s="18"/>
      <c r="H726" s="49"/>
      <c r="I726" s="21"/>
      <c r="J726" s="22"/>
    </row>
    <row r="727" spans="1:10" ht="13.2" x14ac:dyDescent="0.25">
      <c r="A727" s="17"/>
      <c r="B727" s="17"/>
      <c r="D727" s="18"/>
      <c r="E727" s="18"/>
      <c r="F727" s="18"/>
      <c r="G727" s="18"/>
      <c r="H727" s="49"/>
      <c r="I727" s="21"/>
      <c r="J727" s="22"/>
    </row>
    <row r="728" spans="1:10" ht="13.2" x14ac:dyDescent="0.25">
      <c r="A728" s="17"/>
      <c r="B728" s="17"/>
      <c r="D728" s="18"/>
      <c r="E728" s="18"/>
      <c r="F728" s="18"/>
      <c r="G728" s="18"/>
      <c r="H728" s="49"/>
      <c r="I728" s="21"/>
      <c r="J728" s="22"/>
    </row>
    <row r="729" spans="1:10" ht="13.2" x14ac:dyDescent="0.25">
      <c r="A729" s="17"/>
      <c r="B729" s="17"/>
      <c r="D729" s="18"/>
      <c r="E729" s="18"/>
      <c r="F729" s="18"/>
      <c r="G729" s="18"/>
      <c r="H729" s="49"/>
      <c r="I729" s="21"/>
      <c r="J729" s="22"/>
    </row>
    <row r="730" spans="1:10" ht="13.2" x14ac:dyDescent="0.25">
      <c r="A730" s="17"/>
      <c r="B730" s="17"/>
      <c r="D730" s="18"/>
      <c r="E730" s="18"/>
      <c r="F730" s="18"/>
      <c r="G730" s="18"/>
      <c r="H730" s="49"/>
      <c r="I730" s="21"/>
      <c r="J730" s="22"/>
    </row>
    <row r="731" spans="1:10" ht="13.2" x14ac:dyDescent="0.25">
      <c r="A731" s="17"/>
      <c r="B731" s="17"/>
      <c r="D731" s="18"/>
      <c r="E731" s="18"/>
      <c r="F731" s="18"/>
      <c r="G731" s="18"/>
      <c r="H731" s="49"/>
      <c r="I731" s="21"/>
      <c r="J731" s="22"/>
    </row>
    <row r="732" spans="1:10" ht="13.2" x14ac:dyDescent="0.25">
      <c r="A732" s="17"/>
      <c r="B732" s="17"/>
      <c r="D732" s="18"/>
      <c r="E732" s="18"/>
      <c r="F732" s="18"/>
      <c r="G732" s="18"/>
      <c r="H732" s="49"/>
      <c r="I732" s="21"/>
      <c r="J732" s="22"/>
    </row>
    <row r="733" spans="1:10" ht="13.2" x14ac:dyDescent="0.25">
      <c r="A733" s="17"/>
      <c r="B733" s="17"/>
      <c r="D733" s="18"/>
      <c r="E733" s="18"/>
      <c r="F733" s="18"/>
      <c r="G733" s="18"/>
      <c r="H733" s="49"/>
      <c r="I733" s="21"/>
      <c r="J733" s="22"/>
    </row>
    <row r="734" spans="1:10" ht="13.2" x14ac:dyDescent="0.25">
      <c r="A734" s="17"/>
      <c r="B734" s="17"/>
      <c r="D734" s="18"/>
      <c r="E734" s="18"/>
      <c r="F734" s="18"/>
      <c r="G734" s="18"/>
      <c r="H734" s="49"/>
      <c r="I734" s="21"/>
      <c r="J734" s="22"/>
    </row>
    <row r="735" spans="1:10" ht="13.2" x14ac:dyDescent="0.25">
      <c r="A735" s="17"/>
      <c r="B735" s="17"/>
      <c r="D735" s="18"/>
      <c r="E735" s="18"/>
      <c r="F735" s="18"/>
      <c r="G735" s="18"/>
      <c r="H735" s="49"/>
      <c r="I735" s="21"/>
      <c r="J735" s="22"/>
    </row>
    <row r="736" spans="1:10" ht="13.2" x14ac:dyDescent="0.25">
      <c r="A736" s="17"/>
      <c r="B736" s="17"/>
      <c r="D736" s="18"/>
      <c r="E736" s="18"/>
      <c r="F736" s="18"/>
      <c r="G736" s="18"/>
      <c r="H736" s="49"/>
      <c r="I736" s="21"/>
      <c r="J736" s="22"/>
    </row>
    <row r="737" spans="1:10" ht="13.2" x14ac:dyDescent="0.25">
      <c r="A737" s="17"/>
      <c r="B737" s="17"/>
      <c r="D737" s="18"/>
      <c r="E737" s="18"/>
      <c r="F737" s="18"/>
      <c r="G737" s="18"/>
      <c r="H737" s="49"/>
      <c r="I737" s="21"/>
      <c r="J737" s="22"/>
    </row>
    <row r="738" spans="1:10" ht="13.2" x14ac:dyDescent="0.25">
      <c r="A738" s="17"/>
      <c r="B738" s="17"/>
      <c r="D738" s="18"/>
      <c r="E738" s="18"/>
      <c r="F738" s="18"/>
      <c r="G738" s="18"/>
      <c r="H738" s="49"/>
      <c r="I738" s="21"/>
      <c r="J738" s="22"/>
    </row>
    <row r="739" spans="1:10" ht="13.2" x14ac:dyDescent="0.25">
      <c r="A739" s="17"/>
      <c r="B739" s="17"/>
      <c r="D739" s="18"/>
      <c r="E739" s="18"/>
      <c r="F739" s="18"/>
      <c r="G739" s="18"/>
      <c r="H739" s="49"/>
      <c r="I739" s="21"/>
      <c r="J739" s="22"/>
    </row>
    <row r="740" spans="1:10" ht="13.2" x14ac:dyDescent="0.25">
      <c r="A740" s="17"/>
      <c r="B740" s="17"/>
      <c r="D740" s="18"/>
      <c r="E740" s="18"/>
      <c r="F740" s="18"/>
      <c r="G740" s="18"/>
      <c r="H740" s="49"/>
      <c r="I740" s="21"/>
      <c r="J740" s="22"/>
    </row>
    <row r="741" spans="1:10" ht="13.2" x14ac:dyDescent="0.25">
      <c r="A741" s="17"/>
      <c r="B741" s="17"/>
      <c r="D741" s="18"/>
      <c r="E741" s="18"/>
      <c r="F741" s="18"/>
      <c r="G741" s="18"/>
      <c r="H741" s="49"/>
      <c r="I741" s="21"/>
      <c r="J741" s="22"/>
    </row>
    <row r="742" spans="1:10" ht="13.2" x14ac:dyDescent="0.25">
      <c r="A742" s="17"/>
      <c r="B742" s="17"/>
      <c r="D742" s="18"/>
      <c r="E742" s="18"/>
      <c r="F742" s="18"/>
      <c r="G742" s="18"/>
      <c r="H742" s="49"/>
      <c r="I742" s="21"/>
      <c r="J742" s="22"/>
    </row>
    <row r="743" spans="1:10" ht="13.2" x14ac:dyDescent="0.25">
      <c r="A743" s="17"/>
      <c r="B743" s="17"/>
      <c r="D743" s="18"/>
      <c r="E743" s="18"/>
      <c r="F743" s="18"/>
      <c r="G743" s="18"/>
      <c r="H743" s="49"/>
      <c r="I743" s="21"/>
      <c r="J743" s="22"/>
    </row>
    <row r="744" spans="1:10" ht="13.2" x14ac:dyDescent="0.25">
      <c r="A744" s="17"/>
      <c r="B744" s="17"/>
      <c r="D744" s="18"/>
      <c r="E744" s="18"/>
      <c r="F744" s="18"/>
      <c r="G744" s="18"/>
      <c r="H744" s="49"/>
      <c r="I744" s="21"/>
      <c r="J744" s="22"/>
    </row>
    <row r="745" spans="1:10" ht="13.2" x14ac:dyDescent="0.25">
      <c r="A745" s="17"/>
      <c r="B745" s="17"/>
      <c r="D745" s="18"/>
      <c r="E745" s="18"/>
      <c r="F745" s="18"/>
      <c r="G745" s="18"/>
      <c r="H745" s="49"/>
      <c r="I745" s="21"/>
      <c r="J745" s="22"/>
    </row>
    <row r="746" spans="1:10" ht="13.2" x14ac:dyDescent="0.25">
      <c r="A746" s="17"/>
      <c r="B746" s="17"/>
      <c r="D746" s="18"/>
      <c r="E746" s="18"/>
      <c r="F746" s="18"/>
      <c r="G746" s="18"/>
      <c r="H746" s="49"/>
      <c r="I746" s="21"/>
      <c r="J746" s="22"/>
    </row>
    <row r="747" spans="1:10" ht="13.2" x14ac:dyDescent="0.25">
      <c r="A747" s="17"/>
      <c r="B747" s="17"/>
      <c r="D747" s="18"/>
      <c r="E747" s="18"/>
      <c r="F747" s="18"/>
      <c r="G747" s="18"/>
      <c r="H747" s="49"/>
      <c r="I747" s="21"/>
      <c r="J747" s="22"/>
    </row>
    <row r="748" spans="1:10" ht="13.2" x14ac:dyDescent="0.25">
      <c r="A748" s="17"/>
      <c r="B748" s="17"/>
      <c r="D748" s="18"/>
      <c r="E748" s="18"/>
      <c r="F748" s="18"/>
      <c r="G748" s="18"/>
      <c r="H748" s="49"/>
      <c r="I748" s="21"/>
      <c r="J748" s="22"/>
    </row>
    <row r="749" spans="1:10" ht="13.2" x14ac:dyDescent="0.25">
      <c r="A749" s="17"/>
      <c r="B749" s="17"/>
      <c r="D749" s="18"/>
      <c r="E749" s="18"/>
      <c r="F749" s="18"/>
      <c r="G749" s="18"/>
      <c r="H749" s="49"/>
      <c r="I749" s="21"/>
      <c r="J749" s="22"/>
    </row>
    <row r="750" spans="1:10" ht="13.2" x14ac:dyDescent="0.25">
      <c r="A750" s="17"/>
      <c r="B750" s="17"/>
      <c r="D750" s="18"/>
      <c r="E750" s="18"/>
      <c r="F750" s="18"/>
      <c r="G750" s="18"/>
      <c r="H750" s="49"/>
      <c r="I750" s="21"/>
      <c r="J750" s="22"/>
    </row>
    <row r="751" spans="1:10" ht="13.2" x14ac:dyDescent="0.25">
      <c r="A751" s="17"/>
      <c r="B751" s="17"/>
      <c r="D751" s="18"/>
      <c r="E751" s="18"/>
      <c r="F751" s="18"/>
      <c r="G751" s="18"/>
      <c r="H751" s="49"/>
      <c r="I751" s="21"/>
      <c r="J751" s="22"/>
    </row>
    <row r="752" spans="1:10" ht="13.2" x14ac:dyDescent="0.25">
      <c r="A752" s="17"/>
      <c r="B752" s="17"/>
      <c r="D752" s="18"/>
      <c r="E752" s="18"/>
      <c r="F752" s="18"/>
      <c r="G752" s="18"/>
      <c r="H752" s="49"/>
      <c r="I752" s="21"/>
      <c r="J752" s="22"/>
    </row>
    <row r="753" spans="1:10" ht="13.2" x14ac:dyDescent="0.25">
      <c r="A753" s="17"/>
      <c r="B753" s="17"/>
      <c r="D753" s="18"/>
      <c r="E753" s="18"/>
      <c r="F753" s="18"/>
      <c r="G753" s="18"/>
      <c r="H753" s="49"/>
      <c r="I753" s="21"/>
      <c r="J753" s="22"/>
    </row>
    <row r="754" spans="1:10" ht="13.2" x14ac:dyDescent="0.25">
      <c r="A754" s="17"/>
      <c r="B754" s="17"/>
      <c r="D754" s="18"/>
      <c r="E754" s="18"/>
      <c r="F754" s="18"/>
      <c r="G754" s="18"/>
      <c r="H754" s="49"/>
      <c r="I754" s="21"/>
      <c r="J754" s="22"/>
    </row>
    <row r="755" spans="1:10" ht="13.2" x14ac:dyDescent="0.25">
      <c r="A755" s="17"/>
      <c r="B755" s="17"/>
      <c r="D755" s="18"/>
      <c r="E755" s="18"/>
      <c r="F755" s="18"/>
      <c r="G755" s="18"/>
      <c r="H755" s="49"/>
      <c r="I755" s="21"/>
      <c r="J755" s="22"/>
    </row>
    <row r="756" spans="1:10" ht="13.2" x14ac:dyDescent="0.25">
      <c r="A756" s="17"/>
      <c r="B756" s="17"/>
      <c r="D756" s="18"/>
      <c r="E756" s="18"/>
      <c r="F756" s="18"/>
      <c r="G756" s="18"/>
      <c r="H756" s="49"/>
      <c r="I756" s="21"/>
      <c r="J756" s="22"/>
    </row>
    <row r="757" spans="1:10" ht="13.2" x14ac:dyDescent="0.25">
      <c r="A757" s="17"/>
      <c r="B757" s="17"/>
      <c r="D757" s="18"/>
      <c r="E757" s="18"/>
      <c r="F757" s="18"/>
      <c r="G757" s="18"/>
      <c r="H757" s="49"/>
      <c r="I757" s="21"/>
      <c r="J757" s="22"/>
    </row>
    <row r="758" spans="1:10" ht="13.2" x14ac:dyDescent="0.25">
      <c r="A758" s="17"/>
      <c r="B758" s="17"/>
      <c r="D758" s="18"/>
      <c r="E758" s="18"/>
      <c r="F758" s="18"/>
      <c r="G758" s="18"/>
      <c r="H758" s="49"/>
      <c r="I758" s="21"/>
      <c r="J758" s="22"/>
    </row>
    <row r="759" spans="1:10" ht="13.2" x14ac:dyDescent="0.25">
      <c r="A759" s="17"/>
      <c r="B759" s="17"/>
      <c r="D759" s="18"/>
      <c r="E759" s="18"/>
      <c r="F759" s="18"/>
      <c r="G759" s="18"/>
      <c r="H759" s="49"/>
      <c r="I759" s="21"/>
      <c r="J759" s="22"/>
    </row>
    <row r="760" spans="1:10" ht="13.2" x14ac:dyDescent="0.25">
      <c r="A760" s="17"/>
      <c r="B760" s="17"/>
      <c r="D760" s="18"/>
      <c r="E760" s="18"/>
      <c r="F760" s="18"/>
      <c r="G760" s="18"/>
      <c r="H760" s="49"/>
      <c r="I760" s="21"/>
      <c r="J760" s="22"/>
    </row>
    <row r="761" spans="1:10" ht="13.2" x14ac:dyDescent="0.25">
      <c r="A761" s="17"/>
      <c r="B761" s="17"/>
      <c r="D761" s="18"/>
      <c r="E761" s="18"/>
      <c r="F761" s="18"/>
      <c r="G761" s="18"/>
      <c r="H761" s="49"/>
      <c r="I761" s="21"/>
      <c r="J761" s="22"/>
    </row>
    <row r="762" spans="1:10" ht="13.2" x14ac:dyDescent="0.25">
      <c r="A762" s="17"/>
      <c r="B762" s="17"/>
      <c r="D762" s="18"/>
      <c r="E762" s="18"/>
      <c r="F762" s="18"/>
      <c r="G762" s="18"/>
      <c r="H762" s="49"/>
      <c r="I762" s="21"/>
      <c r="J762" s="22"/>
    </row>
    <row r="763" spans="1:10" ht="13.2" x14ac:dyDescent="0.25">
      <c r="A763" s="17"/>
      <c r="B763" s="17"/>
      <c r="D763" s="18"/>
      <c r="E763" s="18"/>
      <c r="F763" s="18"/>
      <c r="G763" s="18"/>
      <c r="H763" s="49"/>
      <c r="I763" s="21"/>
      <c r="J763" s="22"/>
    </row>
    <row r="764" spans="1:10" ht="13.2" x14ac:dyDescent="0.25">
      <c r="A764" s="17"/>
      <c r="B764" s="17"/>
      <c r="D764" s="18"/>
      <c r="E764" s="18"/>
      <c r="F764" s="18"/>
      <c r="G764" s="18"/>
      <c r="H764" s="49"/>
      <c r="I764" s="21"/>
      <c r="J764" s="22"/>
    </row>
    <row r="765" spans="1:10" ht="13.2" x14ac:dyDescent="0.25">
      <c r="A765" s="17"/>
      <c r="B765" s="17"/>
      <c r="D765" s="18"/>
      <c r="E765" s="18"/>
      <c r="F765" s="18"/>
      <c r="G765" s="18"/>
      <c r="H765" s="49"/>
      <c r="I765" s="21"/>
      <c r="J765" s="22"/>
    </row>
    <row r="766" spans="1:10" ht="13.2" x14ac:dyDescent="0.25">
      <c r="A766" s="17"/>
      <c r="B766" s="17"/>
      <c r="D766" s="18"/>
      <c r="E766" s="18"/>
      <c r="F766" s="18"/>
      <c r="G766" s="18"/>
      <c r="H766" s="49"/>
      <c r="I766" s="21"/>
      <c r="J766" s="22"/>
    </row>
    <row r="767" spans="1:10" ht="13.2" x14ac:dyDescent="0.25">
      <c r="A767" s="17"/>
      <c r="B767" s="17"/>
      <c r="D767" s="18"/>
      <c r="E767" s="18"/>
      <c r="F767" s="18"/>
      <c r="G767" s="18"/>
      <c r="H767" s="49"/>
      <c r="I767" s="21"/>
      <c r="J767" s="22"/>
    </row>
    <row r="768" spans="1:10" ht="13.2" x14ac:dyDescent="0.25">
      <c r="A768" s="17"/>
      <c r="B768" s="17"/>
      <c r="D768" s="18"/>
      <c r="E768" s="18"/>
      <c r="F768" s="18"/>
      <c r="G768" s="18"/>
      <c r="H768" s="49"/>
      <c r="I768" s="21"/>
      <c r="J768" s="22"/>
    </row>
    <row r="769" spans="1:10" ht="13.2" x14ac:dyDescent="0.25">
      <c r="A769" s="17"/>
      <c r="B769" s="17"/>
      <c r="D769" s="18"/>
      <c r="E769" s="18"/>
      <c r="F769" s="18"/>
      <c r="G769" s="18"/>
      <c r="H769" s="49"/>
      <c r="I769" s="21"/>
      <c r="J769" s="22"/>
    </row>
    <row r="770" spans="1:10" ht="13.2" x14ac:dyDescent="0.25">
      <c r="A770" s="17"/>
      <c r="B770" s="17"/>
      <c r="D770" s="18"/>
      <c r="E770" s="18"/>
      <c r="F770" s="18"/>
      <c r="G770" s="18"/>
      <c r="H770" s="49"/>
      <c r="I770" s="21"/>
      <c r="J770" s="22"/>
    </row>
    <row r="771" spans="1:10" ht="13.2" x14ac:dyDescent="0.25">
      <c r="A771" s="17"/>
      <c r="B771" s="17"/>
      <c r="D771" s="18"/>
      <c r="E771" s="18"/>
      <c r="F771" s="18"/>
      <c r="G771" s="18"/>
      <c r="H771" s="49"/>
      <c r="I771" s="21"/>
      <c r="J771" s="22"/>
    </row>
    <row r="772" spans="1:10" ht="13.2" x14ac:dyDescent="0.25">
      <c r="A772" s="17"/>
      <c r="B772" s="17"/>
      <c r="D772" s="18"/>
      <c r="E772" s="18"/>
      <c r="F772" s="18"/>
      <c r="G772" s="18"/>
      <c r="H772" s="49"/>
      <c r="I772" s="21"/>
      <c r="J772" s="22"/>
    </row>
    <row r="773" spans="1:10" ht="13.2" x14ac:dyDescent="0.25">
      <c r="A773" s="17"/>
      <c r="B773" s="17"/>
      <c r="D773" s="18"/>
      <c r="E773" s="18"/>
      <c r="F773" s="18"/>
      <c r="G773" s="18"/>
      <c r="H773" s="49"/>
      <c r="I773" s="21"/>
      <c r="J773" s="22"/>
    </row>
    <row r="774" spans="1:10" ht="13.2" x14ac:dyDescent="0.25">
      <c r="A774" s="17"/>
      <c r="B774" s="17"/>
      <c r="D774" s="18"/>
      <c r="E774" s="18"/>
      <c r="F774" s="18"/>
      <c r="G774" s="18"/>
      <c r="H774" s="49"/>
      <c r="I774" s="21"/>
      <c r="J774" s="22"/>
    </row>
    <row r="775" spans="1:10" ht="13.2" x14ac:dyDescent="0.25">
      <c r="A775" s="17"/>
      <c r="B775" s="17"/>
      <c r="D775" s="18"/>
      <c r="E775" s="18"/>
      <c r="F775" s="18"/>
      <c r="G775" s="18"/>
      <c r="H775" s="49"/>
      <c r="I775" s="21"/>
      <c r="J775" s="22"/>
    </row>
    <row r="776" spans="1:10" ht="13.2" x14ac:dyDescent="0.25">
      <c r="A776" s="17"/>
      <c r="B776" s="17"/>
      <c r="D776" s="18"/>
      <c r="E776" s="18"/>
      <c r="F776" s="18"/>
      <c r="G776" s="18"/>
      <c r="H776" s="49"/>
      <c r="I776" s="21"/>
      <c r="J776" s="22"/>
    </row>
    <row r="777" spans="1:10" ht="13.2" x14ac:dyDescent="0.25">
      <c r="A777" s="17"/>
      <c r="B777" s="17"/>
      <c r="D777" s="18"/>
      <c r="E777" s="18"/>
      <c r="F777" s="18"/>
      <c r="G777" s="18"/>
      <c r="H777" s="49"/>
      <c r="I777" s="21"/>
      <c r="J777" s="22"/>
    </row>
    <row r="778" spans="1:10" ht="13.2" x14ac:dyDescent="0.25">
      <c r="A778" s="17"/>
      <c r="B778" s="17"/>
      <c r="D778" s="18"/>
      <c r="E778" s="18"/>
      <c r="F778" s="18"/>
      <c r="G778" s="18"/>
      <c r="H778" s="49"/>
      <c r="I778" s="21"/>
      <c r="J778" s="22"/>
    </row>
    <row r="779" spans="1:10" ht="13.2" x14ac:dyDescent="0.25">
      <c r="A779" s="17"/>
      <c r="B779" s="17"/>
      <c r="D779" s="18"/>
      <c r="E779" s="18"/>
      <c r="F779" s="18"/>
      <c r="G779" s="18"/>
      <c r="H779" s="49"/>
      <c r="I779" s="21"/>
      <c r="J779" s="22"/>
    </row>
    <row r="780" spans="1:10" ht="13.2" x14ac:dyDescent="0.25">
      <c r="A780" s="17"/>
      <c r="B780" s="17"/>
      <c r="D780" s="18"/>
      <c r="E780" s="18"/>
      <c r="F780" s="18"/>
      <c r="G780" s="18"/>
      <c r="H780" s="49"/>
      <c r="I780" s="21"/>
      <c r="J780" s="22"/>
    </row>
    <row r="781" spans="1:10" ht="13.2" x14ac:dyDescent="0.25">
      <c r="A781" s="17"/>
      <c r="B781" s="17"/>
      <c r="D781" s="18"/>
      <c r="E781" s="18"/>
      <c r="F781" s="18"/>
      <c r="G781" s="18"/>
      <c r="H781" s="49"/>
      <c r="I781" s="21"/>
      <c r="J781" s="22"/>
    </row>
    <row r="782" spans="1:10" ht="13.2" x14ac:dyDescent="0.25">
      <c r="A782" s="17"/>
      <c r="B782" s="17"/>
      <c r="D782" s="18"/>
      <c r="E782" s="18"/>
      <c r="F782" s="18"/>
      <c r="G782" s="18"/>
      <c r="H782" s="49"/>
      <c r="I782" s="21"/>
      <c r="J782" s="22"/>
    </row>
    <row r="783" spans="1:10" ht="13.2" x14ac:dyDescent="0.25">
      <c r="A783" s="17"/>
      <c r="B783" s="17"/>
      <c r="D783" s="18"/>
      <c r="E783" s="18"/>
      <c r="F783" s="18"/>
      <c r="G783" s="18"/>
      <c r="H783" s="49"/>
      <c r="I783" s="21"/>
      <c r="J783" s="22"/>
    </row>
    <row r="784" spans="1:10" ht="13.2" x14ac:dyDescent="0.25">
      <c r="A784" s="17"/>
      <c r="B784" s="17"/>
      <c r="D784" s="18"/>
      <c r="E784" s="18"/>
      <c r="F784" s="18"/>
      <c r="G784" s="18"/>
      <c r="H784" s="49"/>
      <c r="I784" s="21"/>
      <c r="J784" s="22"/>
    </row>
    <row r="785" spans="1:10" ht="13.2" x14ac:dyDescent="0.25">
      <c r="A785" s="17"/>
      <c r="B785" s="17"/>
      <c r="D785" s="18"/>
      <c r="E785" s="18"/>
      <c r="F785" s="18"/>
      <c r="G785" s="18"/>
      <c r="H785" s="49"/>
      <c r="I785" s="21"/>
      <c r="J785" s="22"/>
    </row>
    <row r="786" spans="1:10" ht="13.2" x14ac:dyDescent="0.25">
      <c r="A786" s="17"/>
      <c r="B786" s="17"/>
      <c r="D786" s="18"/>
      <c r="E786" s="18"/>
      <c r="F786" s="18"/>
      <c r="G786" s="18"/>
      <c r="H786" s="49"/>
      <c r="I786" s="21"/>
      <c r="J786" s="22"/>
    </row>
    <row r="787" spans="1:10" ht="13.2" x14ac:dyDescent="0.25">
      <c r="A787" s="17"/>
      <c r="B787" s="17"/>
      <c r="D787" s="18"/>
      <c r="E787" s="18"/>
      <c r="F787" s="18"/>
      <c r="G787" s="18"/>
      <c r="H787" s="49"/>
      <c r="I787" s="21"/>
      <c r="J787" s="22"/>
    </row>
    <row r="788" spans="1:10" ht="13.2" x14ac:dyDescent="0.25">
      <c r="A788" s="17"/>
      <c r="B788" s="17"/>
      <c r="D788" s="18"/>
      <c r="E788" s="18"/>
      <c r="F788" s="18"/>
      <c r="G788" s="18"/>
      <c r="H788" s="49"/>
      <c r="I788" s="21"/>
      <c r="J788" s="22"/>
    </row>
    <row r="789" spans="1:10" ht="13.2" x14ac:dyDescent="0.25">
      <c r="A789" s="17"/>
      <c r="B789" s="17"/>
      <c r="D789" s="18"/>
      <c r="E789" s="18"/>
      <c r="F789" s="18"/>
      <c r="G789" s="18"/>
      <c r="H789" s="49"/>
      <c r="I789" s="21"/>
      <c r="J789" s="22"/>
    </row>
    <row r="790" spans="1:10" ht="13.2" x14ac:dyDescent="0.25">
      <c r="A790" s="17"/>
      <c r="B790" s="17"/>
      <c r="D790" s="18"/>
      <c r="E790" s="18"/>
      <c r="F790" s="18"/>
      <c r="G790" s="18"/>
      <c r="H790" s="49"/>
      <c r="I790" s="21"/>
      <c r="J790" s="22"/>
    </row>
    <row r="791" spans="1:10" ht="13.2" x14ac:dyDescent="0.25">
      <c r="A791" s="17"/>
      <c r="B791" s="17"/>
      <c r="D791" s="18"/>
      <c r="E791" s="18"/>
      <c r="F791" s="18"/>
      <c r="G791" s="18"/>
      <c r="H791" s="49"/>
      <c r="I791" s="21"/>
      <c r="J791" s="22"/>
    </row>
    <row r="792" spans="1:10" ht="13.2" x14ac:dyDescent="0.25">
      <c r="A792" s="17"/>
      <c r="B792" s="17"/>
      <c r="D792" s="18"/>
      <c r="E792" s="18"/>
      <c r="F792" s="18"/>
      <c r="G792" s="18"/>
      <c r="H792" s="49"/>
      <c r="I792" s="21"/>
      <c r="J792" s="22"/>
    </row>
    <row r="793" spans="1:10" ht="13.2" x14ac:dyDescent="0.25">
      <c r="A793" s="17"/>
      <c r="B793" s="17"/>
      <c r="D793" s="18"/>
      <c r="E793" s="18"/>
      <c r="F793" s="18"/>
      <c r="G793" s="18"/>
      <c r="H793" s="49"/>
      <c r="I793" s="21"/>
      <c r="J793" s="22"/>
    </row>
    <row r="794" spans="1:10" ht="13.2" x14ac:dyDescent="0.25">
      <c r="A794" s="17"/>
      <c r="B794" s="17"/>
      <c r="D794" s="18"/>
      <c r="E794" s="18"/>
      <c r="F794" s="18"/>
      <c r="G794" s="18"/>
      <c r="H794" s="49"/>
      <c r="I794" s="21"/>
      <c r="J794" s="22"/>
    </row>
    <row r="795" spans="1:10" ht="13.2" x14ac:dyDescent="0.25">
      <c r="A795" s="17"/>
      <c r="B795" s="17"/>
      <c r="D795" s="18"/>
      <c r="E795" s="18"/>
      <c r="F795" s="18"/>
      <c r="G795" s="18"/>
      <c r="H795" s="49"/>
      <c r="I795" s="21"/>
      <c r="J795" s="22"/>
    </row>
    <row r="796" spans="1:10" ht="13.2" x14ac:dyDescent="0.25">
      <c r="A796" s="17"/>
      <c r="B796" s="17"/>
      <c r="D796" s="18"/>
      <c r="E796" s="18"/>
      <c r="F796" s="18"/>
      <c r="G796" s="18"/>
      <c r="H796" s="49"/>
      <c r="I796" s="21"/>
      <c r="J796" s="22"/>
    </row>
    <row r="797" spans="1:10" ht="13.2" x14ac:dyDescent="0.25">
      <c r="A797" s="17"/>
      <c r="B797" s="17"/>
      <c r="D797" s="18"/>
      <c r="E797" s="18"/>
      <c r="F797" s="18"/>
      <c r="G797" s="18"/>
      <c r="H797" s="49"/>
      <c r="I797" s="21"/>
      <c r="J797" s="22"/>
    </row>
    <row r="798" spans="1:10" ht="13.2" x14ac:dyDescent="0.25">
      <c r="A798" s="17"/>
      <c r="B798" s="17"/>
      <c r="D798" s="18"/>
      <c r="E798" s="18"/>
      <c r="F798" s="18"/>
      <c r="G798" s="18"/>
      <c r="H798" s="49"/>
      <c r="I798" s="21"/>
      <c r="J798" s="22"/>
    </row>
    <row r="799" spans="1:10" ht="13.2" x14ac:dyDescent="0.25">
      <c r="A799" s="17"/>
      <c r="B799" s="17"/>
      <c r="D799" s="18"/>
      <c r="E799" s="18"/>
      <c r="F799" s="18"/>
      <c r="G799" s="18"/>
      <c r="H799" s="49"/>
      <c r="I799" s="21"/>
      <c r="J799" s="22"/>
    </row>
    <row r="800" spans="1:10" ht="13.2" x14ac:dyDescent="0.25">
      <c r="A800" s="17"/>
      <c r="B800" s="17"/>
      <c r="D800" s="18"/>
      <c r="E800" s="18"/>
      <c r="F800" s="18"/>
      <c r="G800" s="18"/>
      <c r="H800" s="49"/>
      <c r="I800" s="21"/>
      <c r="J800" s="22"/>
    </row>
    <row r="801" spans="1:10" ht="13.2" x14ac:dyDescent="0.25">
      <c r="A801" s="17"/>
      <c r="B801" s="17"/>
      <c r="D801" s="18"/>
      <c r="E801" s="18"/>
      <c r="F801" s="18"/>
      <c r="G801" s="18"/>
      <c r="H801" s="49"/>
      <c r="I801" s="21"/>
      <c r="J801" s="22"/>
    </row>
    <row r="802" spans="1:10" ht="13.2" x14ac:dyDescent="0.25">
      <c r="A802" s="17"/>
      <c r="B802" s="17"/>
      <c r="D802" s="18"/>
      <c r="E802" s="18"/>
      <c r="F802" s="18"/>
      <c r="G802" s="18"/>
      <c r="H802" s="49"/>
      <c r="I802" s="21"/>
      <c r="J802" s="22"/>
    </row>
    <row r="803" spans="1:10" ht="13.2" x14ac:dyDescent="0.25">
      <c r="A803" s="17"/>
      <c r="B803" s="17"/>
      <c r="D803" s="18"/>
      <c r="E803" s="18"/>
      <c r="F803" s="18"/>
      <c r="G803" s="18"/>
      <c r="H803" s="49"/>
      <c r="I803" s="21"/>
      <c r="J803" s="22"/>
    </row>
    <row r="804" spans="1:10" ht="13.2" x14ac:dyDescent="0.25">
      <c r="A804" s="17"/>
      <c r="B804" s="17"/>
      <c r="D804" s="18"/>
      <c r="E804" s="18"/>
      <c r="F804" s="18"/>
      <c r="G804" s="18"/>
      <c r="H804" s="49"/>
      <c r="I804" s="21"/>
      <c r="J804" s="22"/>
    </row>
    <row r="805" spans="1:10" ht="13.2" x14ac:dyDescent="0.25">
      <c r="A805" s="17"/>
      <c r="B805" s="17"/>
      <c r="D805" s="18"/>
      <c r="E805" s="18"/>
      <c r="F805" s="18"/>
      <c r="G805" s="18"/>
      <c r="H805" s="49"/>
      <c r="I805" s="21"/>
      <c r="J805" s="22"/>
    </row>
    <row r="806" spans="1:10" ht="13.2" x14ac:dyDescent="0.25">
      <c r="A806" s="17"/>
      <c r="B806" s="17"/>
      <c r="D806" s="18"/>
      <c r="E806" s="18"/>
      <c r="F806" s="18"/>
      <c r="G806" s="18"/>
      <c r="H806" s="49"/>
      <c r="I806" s="21"/>
      <c r="J806" s="22"/>
    </row>
    <row r="807" spans="1:10" ht="13.2" x14ac:dyDescent="0.25">
      <c r="A807" s="17"/>
      <c r="B807" s="17"/>
      <c r="D807" s="18"/>
      <c r="E807" s="18"/>
      <c r="F807" s="18"/>
      <c r="G807" s="18"/>
      <c r="H807" s="49"/>
      <c r="I807" s="21"/>
      <c r="J807" s="22"/>
    </row>
    <row r="808" spans="1:10" ht="13.2" x14ac:dyDescent="0.25">
      <c r="A808" s="17"/>
      <c r="B808" s="17"/>
      <c r="D808" s="18"/>
      <c r="E808" s="18"/>
      <c r="F808" s="18"/>
      <c r="G808" s="18"/>
      <c r="H808" s="49"/>
      <c r="I808" s="21"/>
      <c r="J808" s="22"/>
    </row>
    <row r="809" spans="1:10" ht="13.2" x14ac:dyDescent="0.25">
      <c r="A809" s="17"/>
      <c r="B809" s="17"/>
      <c r="D809" s="18"/>
      <c r="E809" s="18"/>
      <c r="F809" s="18"/>
      <c r="G809" s="18"/>
      <c r="H809" s="49"/>
      <c r="I809" s="21"/>
      <c r="J809" s="22"/>
    </row>
    <row r="810" spans="1:10" ht="13.2" x14ac:dyDescent="0.25">
      <c r="A810" s="17"/>
      <c r="B810" s="17"/>
      <c r="D810" s="18"/>
      <c r="E810" s="18"/>
      <c r="F810" s="18"/>
      <c r="G810" s="18"/>
      <c r="H810" s="49"/>
      <c r="I810" s="21"/>
      <c r="J810" s="22"/>
    </row>
    <row r="811" spans="1:10" ht="13.2" x14ac:dyDescent="0.25">
      <c r="A811" s="17"/>
      <c r="B811" s="17"/>
      <c r="D811" s="18"/>
      <c r="E811" s="18"/>
      <c r="F811" s="18"/>
      <c r="G811" s="18"/>
      <c r="H811" s="49"/>
      <c r="I811" s="21"/>
      <c r="J811" s="22"/>
    </row>
    <row r="812" spans="1:10" ht="13.2" x14ac:dyDescent="0.25">
      <c r="A812" s="17"/>
      <c r="B812" s="17"/>
      <c r="D812" s="18"/>
      <c r="E812" s="18"/>
      <c r="F812" s="18"/>
      <c r="G812" s="18"/>
      <c r="H812" s="49"/>
      <c r="I812" s="21"/>
      <c r="J812" s="22"/>
    </row>
    <row r="813" spans="1:10" ht="13.2" x14ac:dyDescent="0.25">
      <c r="A813" s="17"/>
      <c r="B813" s="17"/>
      <c r="D813" s="18"/>
      <c r="E813" s="18"/>
      <c r="F813" s="18"/>
      <c r="G813" s="18"/>
      <c r="H813" s="49"/>
      <c r="I813" s="21"/>
      <c r="J813" s="22"/>
    </row>
    <row r="814" spans="1:10" ht="13.2" x14ac:dyDescent="0.25">
      <c r="A814" s="17"/>
      <c r="B814" s="17"/>
      <c r="D814" s="18"/>
      <c r="E814" s="18"/>
      <c r="F814" s="18"/>
      <c r="G814" s="18"/>
      <c r="H814" s="49"/>
      <c r="I814" s="21"/>
      <c r="J814" s="22"/>
    </row>
    <row r="815" spans="1:10" ht="13.2" x14ac:dyDescent="0.25">
      <c r="A815" s="17"/>
      <c r="B815" s="17"/>
      <c r="D815" s="18"/>
      <c r="E815" s="18"/>
      <c r="F815" s="18"/>
      <c r="G815" s="18"/>
      <c r="H815" s="49"/>
      <c r="I815" s="21"/>
      <c r="J815" s="22"/>
    </row>
    <row r="816" spans="1:10" ht="13.2" x14ac:dyDescent="0.25">
      <c r="A816" s="17"/>
      <c r="B816" s="17"/>
      <c r="D816" s="18"/>
      <c r="E816" s="18"/>
      <c r="F816" s="18"/>
      <c r="G816" s="18"/>
      <c r="H816" s="49"/>
      <c r="I816" s="21"/>
      <c r="J816" s="22"/>
    </row>
    <row r="817" spans="1:10" ht="13.2" x14ac:dyDescent="0.25">
      <c r="A817" s="17"/>
      <c r="B817" s="17"/>
      <c r="D817" s="18"/>
      <c r="E817" s="18"/>
      <c r="F817" s="18"/>
      <c r="G817" s="18"/>
      <c r="H817" s="49"/>
      <c r="I817" s="21"/>
      <c r="J817" s="22"/>
    </row>
    <row r="818" spans="1:10" ht="13.2" x14ac:dyDescent="0.25">
      <c r="A818" s="17"/>
      <c r="B818" s="17"/>
      <c r="D818" s="18"/>
      <c r="E818" s="18"/>
      <c r="F818" s="18"/>
      <c r="G818" s="18"/>
      <c r="H818" s="49"/>
      <c r="I818" s="21"/>
      <c r="J818" s="22"/>
    </row>
    <row r="819" spans="1:10" ht="13.2" x14ac:dyDescent="0.25">
      <c r="A819" s="17"/>
      <c r="B819" s="17"/>
      <c r="D819" s="18"/>
      <c r="E819" s="18"/>
      <c r="F819" s="18"/>
      <c r="G819" s="18"/>
      <c r="H819" s="49"/>
      <c r="I819" s="21"/>
      <c r="J819" s="22"/>
    </row>
    <row r="820" spans="1:10" ht="13.2" x14ac:dyDescent="0.25">
      <c r="A820" s="17"/>
      <c r="B820" s="17"/>
      <c r="D820" s="18"/>
      <c r="E820" s="18"/>
      <c r="F820" s="18"/>
      <c r="G820" s="18"/>
      <c r="H820" s="49"/>
      <c r="I820" s="21"/>
      <c r="J820" s="22"/>
    </row>
    <row r="821" spans="1:10" ht="13.2" x14ac:dyDescent="0.25">
      <c r="A821" s="17"/>
      <c r="B821" s="17"/>
      <c r="D821" s="18"/>
      <c r="E821" s="18"/>
      <c r="F821" s="18"/>
      <c r="G821" s="18"/>
      <c r="H821" s="49"/>
      <c r="I821" s="21"/>
      <c r="J821" s="22"/>
    </row>
    <row r="822" spans="1:10" ht="13.2" x14ac:dyDescent="0.25">
      <c r="A822" s="17"/>
      <c r="B822" s="17"/>
      <c r="D822" s="18"/>
      <c r="E822" s="18"/>
      <c r="F822" s="18"/>
      <c r="G822" s="18"/>
      <c r="H822" s="49"/>
      <c r="I822" s="21"/>
      <c r="J822" s="22"/>
    </row>
    <row r="823" spans="1:10" ht="13.2" x14ac:dyDescent="0.25">
      <c r="A823" s="17"/>
      <c r="B823" s="17"/>
      <c r="D823" s="18"/>
      <c r="E823" s="18"/>
      <c r="F823" s="18"/>
      <c r="G823" s="18"/>
      <c r="H823" s="49"/>
      <c r="I823" s="21"/>
      <c r="J823" s="22"/>
    </row>
    <row r="824" spans="1:10" ht="13.2" x14ac:dyDescent="0.25">
      <c r="A824" s="17"/>
      <c r="B824" s="17"/>
      <c r="D824" s="18"/>
      <c r="E824" s="18"/>
      <c r="F824" s="18"/>
      <c r="G824" s="18"/>
      <c r="H824" s="49"/>
      <c r="I824" s="21"/>
      <c r="J824" s="22"/>
    </row>
    <row r="825" spans="1:10" ht="13.2" x14ac:dyDescent="0.25">
      <c r="A825" s="17"/>
      <c r="B825" s="17"/>
      <c r="D825" s="18"/>
      <c r="E825" s="18"/>
      <c r="F825" s="18"/>
      <c r="G825" s="18"/>
      <c r="H825" s="49"/>
      <c r="I825" s="21"/>
      <c r="J825" s="22"/>
    </row>
    <row r="826" spans="1:10" ht="13.2" x14ac:dyDescent="0.25">
      <c r="A826" s="17"/>
      <c r="B826" s="17"/>
      <c r="D826" s="18"/>
      <c r="E826" s="18"/>
      <c r="F826" s="18"/>
      <c r="G826" s="18"/>
      <c r="H826" s="49"/>
      <c r="I826" s="21"/>
      <c r="J826" s="22"/>
    </row>
    <row r="827" spans="1:10" ht="13.2" x14ac:dyDescent="0.25">
      <c r="A827" s="17"/>
      <c r="B827" s="17"/>
      <c r="D827" s="18"/>
      <c r="E827" s="18"/>
      <c r="F827" s="18"/>
      <c r="G827" s="18"/>
      <c r="H827" s="49"/>
      <c r="I827" s="21"/>
      <c r="J827" s="22"/>
    </row>
    <row r="828" spans="1:10" ht="13.2" x14ac:dyDescent="0.25">
      <c r="A828" s="17"/>
      <c r="B828" s="17"/>
      <c r="D828" s="18"/>
      <c r="E828" s="18"/>
      <c r="F828" s="18"/>
      <c r="G828" s="18"/>
      <c r="H828" s="49"/>
      <c r="I828" s="21"/>
      <c r="J828" s="22"/>
    </row>
    <row r="829" spans="1:10" ht="13.2" x14ac:dyDescent="0.25">
      <c r="A829" s="17"/>
      <c r="B829" s="17"/>
      <c r="D829" s="18"/>
      <c r="E829" s="18"/>
      <c r="F829" s="18"/>
      <c r="G829" s="18"/>
      <c r="H829" s="49"/>
      <c r="I829" s="21"/>
      <c r="J829" s="22"/>
    </row>
    <row r="830" spans="1:10" ht="13.2" x14ac:dyDescent="0.25">
      <c r="A830" s="17"/>
      <c r="B830" s="17"/>
      <c r="D830" s="18"/>
      <c r="E830" s="18"/>
      <c r="F830" s="18"/>
      <c r="G830" s="18"/>
      <c r="H830" s="49"/>
      <c r="I830" s="21"/>
      <c r="J830" s="22"/>
    </row>
    <row r="831" spans="1:10" ht="13.2" x14ac:dyDescent="0.25">
      <c r="A831" s="17"/>
      <c r="B831" s="17"/>
      <c r="D831" s="18"/>
      <c r="E831" s="18"/>
      <c r="F831" s="18"/>
      <c r="G831" s="18"/>
      <c r="H831" s="49"/>
      <c r="I831" s="21"/>
      <c r="J831" s="22"/>
    </row>
    <row r="832" spans="1:10" ht="13.2" x14ac:dyDescent="0.25">
      <c r="A832" s="17"/>
      <c r="B832" s="17"/>
      <c r="D832" s="18"/>
      <c r="E832" s="18"/>
      <c r="F832" s="18"/>
      <c r="G832" s="18"/>
      <c r="H832" s="49"/>
      <c r="I832" s="21"/>
      <c r="J832" s="22"/>
    </row>
    <row r="833" spans="1:10" ht="13.2" x14ac:dyDescent="0.25">
      <c r="A833" s="17"/>
      <c r="B833" s="17"/>
      <c r="D833" s="18"/>
      <c r="E833" s="18"/>
      <c r="F833" s="18"/>
      <c r="G833" s="18"/>
      <c r="H833" s="49"/>
      <c r="I833" s="21"/>
      <c r="J833" s="22"/>
    </row>
    <row r="834" spans="1:10" ht="13.2" x14ac:dyDescent="0.25">
      <c r="A834" s="17"/>
      <c r="B834" s="17"/>
      <c r="D834" s="18"/>
      <c r="E834" s="18"/>
      <c r="F834" s="18"/>
      <c r="G834" s="18"/>
      <c r="H834" s="49"/>
      <c r="I834" s="21"/>
      <c r="J834" s="22"/>
    </row>
    <row r="835" spans="1:10" ht="13.2" x14ac:dyDescent="0.25">
      <c r="A835" s="17"/>
      <c r="B835" s="17"/>
      <c r="D835" s="18"/>
      <c r="E835" s="18"/>
      <c r="F835" s="18"/>
      <c r="G835" s="18"/>
      <c r="H835" s="49"/>
      <c r="I835" s="21"/>
      <c r="J835" s="22"/>
    </row>
    <row r="836" spans="1:10" ht="13.2" x14ac:dyDescent="0.25">
      <c r="A836" s="17"/>
      <c r="B836" s="17"/>
      <c r="D836" s="18"/>
      <c r="E836" s="18"/>
      <c r="F836" s="18"/>
      <c r="G836" s="18"/>
      <c r="H836" s="49"/>
      <c r="I836" s="21"/>
      <c r="J836" s="22"/>
    </row>
    <row r="837" spans="1:10" ht="13.2" x14ac:dyDescent="0.25">
      <c r="A837" s="17"/>
      <c r="B837" s="17"/>
      <c r="D837" s="18"/>
      <c r="E837" s="18"/>
      <c r="F837" s="18"/>
      <c r="G837" s="18"/>
      <c r="H837" s="49"/>
      <c r="I837" s="21"/>
      <c r="J837" s="22"/>
    </row>
    <row r="838" spans="1:10" ht="13.2" x14ac:dyDescent="0.25">
      <c r="A838" s="17"/>
      <c r="B838" s="17"/>
      <c r="D838" s="18"/>
      <c r="E838" s="18"/>
      <c r="F838" s="18"/>
      <c r="G838" s="18"/>
      <c r="H838" s="49"/>
      <c r="I838" s="21"/>
      <c r="J838" s="22"/>
    </row>
    <row r="839" spans="1:10" ht="13.2" x14ac:dyDescent="0.25">
      <c r="A839" s="17"/>
      <c r="B839" s="17"/>
      <c r="D839" s="18"/>
      <c r="E839" s="18"/>
      <c r="F839" s="18"/>
      <c r="G839" s="18"/>
      <c r="H839" s="49"/>
      <c r="I839" s="21"/>
      <c r="J839" s="22"/>
    </row>
    <row r="840" spans="1:10" ht="13.2" x14ac:dyDescent="0.25">
      <c r="A840" s="17"/>
      <c r="B840" s="17"/>
      <c r="D840" s="18"/>
      <c r="E840" s="18"/>
      <c r="F840" s="18"/>
      <c r="G840" s="18"/>
      <c r="H840" s="49"/>
      <c r="I840" s="21"/>
      <c r="J840" s="22"/>
    </row>
    <row r="841" spans="1:10" ht="13.2" x14ac:dyDescent="0.25">
      <c r="A841" s="17"/>
      <c r="B841" s="17"/>
      <c r="D841" s="18"/>
      <c r="E841" s="18"/>
      <c r="F841" s="18"/>
      <c r="G841" s="18"/>
      <c r="H841" s="49"/>
      <c r="I841" s="21"/>
      <c r="J841" s="22"/>
    </row>
  </sheetData>
  <mergeCells count="5">
    <mergeCell ref="B4:G4"/>
    <mergeCell ref="B12:G12"/>
    <mergeCell ref="B20:G20"/>
    <mergeCell ref="B28:G28"/>
    <mergeCell ref="B36:G36"/>
  </mergeCells>
  <conditionalFormatting sqref="L13">
    <cfRule type="notContainsBlanks" dxfId="5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 D37:D41" xr:uid="{00000000-0002-0000-0400-000000000000}">
      <formula1>OR(D5 = "2006", D5="2007",  D5="2008", D5="2009", D5="2010", D5="2011")</formula1>
    </dataValidation>
    <dataValidation type="custom" allowBlank="1" showDropDown="1" showInputMessage="1" showErrorMessage="1" prompt="Csak szám, (12,33), x. és - jel használható!" sqref="E5:G9 E13:G17 E21:G25 E29:G33 E37:G41" xr:uid="{00000000-0002-0000-0400-000001000000}">
      <formula1>REGEXMATCH(E5,"^\d{1,2},\d{2}$|^x$|^X$|^-$")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C4587"/>
    <outlinePr summaryBelow="0" summaryRight="0"/>
  </sheetPr>
  <dimension ref="A1:H758"/>
  <sheetViews>
    <sheetView workbookViewId="0">
      <pane ySplit="3" topLeftCell="A4" activePane="bottomLeft" state="frozen"/>
      <selection pane="bottomLeft" activeCell="A46" sqref="A46:XFD287"/>
    </sheetView>
  </sheetViews>
  <sheetFormatPr defaultColWidth="12.6640625" defaultRowHeight="15.75" customHeight="1" x14ac:dyDescent="0.25"/>
  <cols>
    <col min="1" max="1" width="4.6640625" customWidth="1"/>
    <col min="2" max="2" width="4.109375" customWidth="1"/>
    <col min="3" max="3" width="25.44140625" customWidth="1"/>
    <col min="4" max="4" width="6.109375" customWidth="1"/>
    <col min="5" max="5" width="15.88671875" customWidth="1"/>
    <col min="6" max="6" width="10.21875" customWidth="1"/>
    <col min="7" max="7" width="8.21875" customWidth="1"/>
    <col min="8" max="8" width="12.6640625" hidden="1"/>
  </cols>
  <sheetData>
    <row r="1" spans="1:8" ht="25.8" x14ac:dyDescent="0.8">
      <c r="A1" s="1" t="s">
        <v>378</v>
      </c>
      <c r="B1" s="2"/>
      <c r="C1" s="3"/>
      <c r="D1" s="4"/>
      <c r="E1" s="4"/>
      <c r="F1" s="47"/>
      <c r="G1" s="47"/>
      <c r="H1" s="56"/>
    </row>
    <row r="2" spans="1:8" ht="16.2" x14ac:dyDescent="0.5">
      <c r="A2" s="9" t="s">
        <v>1</v>
      </c>
      <c r="B2" s="9" t="s">
        <v>2</v>
      </c>
      <c r="C2" s="11"/>
      <c r="D2" s="12" t="s">
        <v>379</v>
      </c>
      <c r="E2" s="12"/>
      <c r="F2" s="14" t="s">
        <v>380</v>
      </c>
      <c r="G2" s="15" t="s">
        <v>7</v>
      </c>
      <c r="H2" s="56"/>
    </row>
    <row r="3" spans="1:8" ht="13.2" x14ac:dyDescent="0.25">
      <c r="A3" s="17"/>
      <c r="B3" s="17"/>
      <c r="D3" s="18"/>
      <c r="E3" s="18"/>
      <c r="F3" s="21"/>
      <c r="G3" s="22"/>
      <c r="H3" s="56"/>
    </row>
    <row r="4" spans="1:8" ht="15.6" x14ac:dyDescent="0.25">
      <c r="A4" s="23">
        <v>1</v>
      </c>
      <c r="B4" s="72" t="s">
        <v>381</v>
      </c>
      <c r="C4" s="73"/>
      <c r="D4" s="73"/>
      <c r="E4" s="74"/>
      <c r="F4" s="57" t="s">
        <v>382</v>
      </c>
      <c r="G4" s="26">
        <f ca="1">IF($H4=2000,,RANK(H4,$H$4:$H$45,TRUE))</f>
        <v>1</v>
      </c>
      <c r="H4" s="58">
        <f ca="1">IFERROR(__xludf.DUMMYFUNCTION("IF(REGEXMATCH(F4,""^\d{1,2}:\d\d,\d{1,2}""),VALUE(LEFT($F4,SEARCH("":"",F4)-1))*60+VALUE(MID($F4,SEARCH("":"",F4)+1,LEN($F4))),2000)"),1211.1)</f>
        <v>1211.0999999999999</v>
      </c>
    </row>
    <row r="5" spans="1:8" ht="18" customHeight="1" x14ac:dyDescent="0.25">
      <c r="A5" s="17"/>
      <c r="B5" s="28">
        <v>1</v>
      </c>
      <c r="C5" s="29" t="s">
        <v>20</v>
      </c>
      <c r="D5" s="44" t="s">
        <v>18</v>
      </c>
      <c r="E5" s="18"/>
      <c r="F5" s="21"/>
      <c r="G5" s="22"/>
      <c r="H5" s="56"/>
    </row>
    <row r="6" spans="1:8" ht="18" customHeight="1" x14ac:dyDescent="0.25">
      <c r="A6" s="17"/>
      <c r="B6" s="28">
        <v>2</v>
      </c>
      <c r="C6" s="29" t="s">
        <v>383</v>
      </c>
      <c r="D6" s="44" t="s">
        <v>18</v>
      </c>
      <c r="E6" s="18"/>
      <c r="F6" s="21"/>
      <c r="G6" s="22"/>
      <c r="H6" s="56"/>
    </row>
    <row r="7" spans="1:8" ht="18" customHeight="1" x14ac:dyDescent="0.25">
      <c r="A7" s="17"/>
      <c r="B7" s="28">
        <v>3</v>
      </c>
      <c r="C7" s="29" t="s">
        <v>384</v>
      </c>
      <c r="D7" s="44" t="s">
        <v>10</v>
      </c>
      <c r="E7" s="18"/>
      <c r="F7" s="21"/>
      <c r="G7" s="22"/>
      <c r="H7" s="56"/>
    </row>
    <row r="8" spans="1:8" ht="18" customHeight="1" x14ac:dyDescent="0.25">
      <c r="A8" s="17"/>
      <c r="B8" s="59">
        <v>4</v>
      </c>
      <c r="C8" s="29" t="s">
        <v>385</v>
      </c>
      <c r="D8" s="60" t="s">
        <v>26</v>
      </c>
      <c r="E8" s="18"/>
      <c r="F8" s="21"/>
      <c r="G8" s="22"/>
      <c r="H8" s="56"/>
    </row>
    <row r="9" spans="1:8" ht="18" customHeight="1" x14ac:dyDescent="0.25">
      <c r="A9" s="17"/>
      <c r="B9" s="76" t="s">
        <v>386</v>
      </c>
      <c r="C9" s="74"/>
      <c r="D9" s="75"/>
      <c r="E9" s="73"/>
      <c r="F9" s="74"/>
      <c r="G9" s="18"/>
      <c r="H9" s="56"/>
    </row>
    <row r="10" spans="1:8" ht="13.2" x14ac:dyDescent="0.25">
      <c r="F10" s="61"/>
      <c r="G10" s="22"/>
      <c r="H10" s="56"/>
    </row>
    <row r="11" spans="1:8" ht="15.6" x14ac:dyDescent="0.25">
      <c r="A11" s="23">
        <v>2</v>
      </c>
      <c r="B11" s="72" t="s">
        <v>64</v>
      </c>
      <c r="C11" s="73"/>
      <c r="D11" s="73"/>
      <c r="E11" s="74"/>
      <c r="F11" s="57" t="s">
        <v>387</v>
      </c>
      <c r="G11" s="26">
        <f ca="1">IF($H11=2000,,RANK(H11,$H$4:$H$45,TRUE))</f>
        <v>2</v>
      </c>
      <c r="H11" s="58">
        <f ca="1">IFERROR(__xludf.DUMMYFUNCTION("IF(REGEXMATCH(F11,""^\d{1,2}:\d\d,\d{1,2}""),VALUE(LEFT($F11,SEARCH("":"",F11)-1))*60+VALUE(MID($F11,SEARCH("":"",F11)+1,LEN($F11))),2000)"),1233.5)</f>
        <v>1233.5</v>
      </c>
    </row>
    <row r="12" spans="1:8" ht="13.2" x14ac:dyDescent="0.25">
      <c r="A12" s="17"/>
      <c r="B12" s="28">
        <v>1</v>
      </c>
      <c r="C12" s="29" t="s">
        <v>388</v>
      </c>
      <c r="D12" s="44" t="s">
        <v>18</v>
      </c>
      <c r="E12" s="18"/>
      <c r="F12" s="21"/>
      <c r="G12" s="22"/>
      <c r="H12" s="56"/>
    </row>
    <row r="13" spans="1:8" ht="13.2" x14ac:dyDescent="0.25">
      <c r="A13" s="17"/>
      <c r="B13" s="28">
        <v>2</v>
      </c>
      <c r="C13" s="29" t="s">
        <v>389</v>
      </c>
      <c r="D13" s="44" t="s">
        <v>10</v>
      </c>
      <c r="E13" s="18"/>
      <c r="F13" s="21"/>
      <c r="G13" s="22"/>
      <c r="H13" s="56"/>
    </row>
    <row r="14" spans="1:8" ht="13.2" x14ac:dyDescent="0.25">
      <c r="A14" s="17"/>
      <c r="B14" s="28">
        <v>3</v>
      </c>
      <c r="C14" s="29" t="s">
        <v>390</v>
      </c>
      <c r="D14" s="44" t="s">
        <v>10</v>
      </c>
      <c r="E14" s="18"/>
      <c r="F14" s="21"/>
      <c r="G14" s="22"/>
      <c r="H14" s="56"/>
    </row>
    <row r="15" spans="1:8" ht="13.2" x14ac:dyDescent="0.25">
      <c r="A15" s="17"/>
      <c r="B15" s="59">
        <v>4</v>
      </c>
      <c r="C15" s="29" t="s">
        <v>391</v>
      </c>
      <c r="D15" s="44" t="s">
        <v>18</v>
      </c>
      <c r="E15" s="18"/>
      <c r="F15" s="21"/>
      <c r="G15" s="22"/>
      <c r="H15" s="56"/>
    </row>
    <row r="16" spans="1:8" ht="13.2" x14ac:dyDescent="0.25">
      <c r="A16" s="17"/>
      <c r="B16" s="76" t="s">
        <v>392</v>
      </c>
      <c r="C16" s="74"/>
      <c r="D16" s="75"/>
      <c r="E16" s="73"/>
      <c r="F16" s="74"/>
      <c r="G16" s="18"/>
      <c r="H16" s="56"/>
    </row>
    <row r="17" spans="1:8" ht="13.2" x14ac:dyDescent="0.25">
      <c r="F17" s="61"/>
      <c r="G17" s="22"/>
      <c r="H17" s="56"/>
    </row>
    <row r="18" spans="1:8" ht="15.6" x14ac:dyDescent="0.25">
      <c r="A18" s="23">
        <v>3</v>
      </c>
      <c r="B18" s="72" t="s">
        <v>121</v>
      </c>
      <c r="C18" s="73"/>
      <c r="D18" s="73"/>
      <c r="E18" s="74"/>
      <c r="F18" s="57" t="s">
        <v>393</v>
      </c>
      <c r="G18" s="26">
        <f ca="1">IF($H18=2000,,RANK(H18,$H$4:$H$45,TRUE))</f>
        <v>3</v>
      </c>
      <c r="H18" s="58">
        <f ca="1">IFERROR(__xludf.DUMMYFUNCTION("IF(REGEXMATCH(F18,""^\d{1,2}:\d\d,\d{1,2}""),VALUE(LEFT($F18,SEARCH("":"",F18)-1))*60+VALUE(MID($F18,SEARCH("":"",F18)+1,LEN($F18))),2000)"),1268.5)</f>
        <v>1268.5</v>
      </c>
    </row>
    <row r="19" spans="1:8" ht="13.2" x14ac:dyDescent="0.25">
      <c r="A19" s="17"/>
      <c r="B19" s="28">
        <v>1</v>
      </c>
      <c r="C19" s="29" t="s">
        <v>122</v>
      </c>
      <c r="D19" s="44" t="s">
        <v>26</v>
      </c>
      <c r="E19" s="18"/>
      <c r="F19" s="21"/>
      <c r="G19" s="22"/>
      <c r="H19" s="56"/>
    </row>
    <row r="20" spans="1:8" ht="13.2" x14ac:dyDescent="0.25">
      <c r="A20" s="17"/>
      <c r="B20" s="28">
        <v>2</v>
      </c>
      <c r="C20" s="29" t="s">
        <v>394</v>
      </c>
      <c r="D20" s="44" t="s">
        <v>26</v>
      </c>
      <c r="E20" s="18"/>
      <c r="F20" s="21"/>
      <c r="G20" s="22"/>
      <c r="H20" s="56"/>
    </row>
    <row r="21" spans="1:8" ht="13.2" x14ac:dyDescent="0.25">
      <c r="A21" s="17"/>
      <c r="B21" s="28">
        <v>3</v>
      </c>
      <c r="C21" s="29" t="s">
        <v>395</v>
      </c>
      <c r="D21" s="44" t="s">
        <v>26</v>
      </c>
      <c r="E21" s="18"/>
      <c r="F21" s="21"/>
      <c r="G21" s="22"/>
      <c r="H21" s="56"/>
    </row>
    <row r="22" spans="1:8" ht="13.2" x14ac:dyDescent="0.25">
      <c r="A22" s="17"/>
      <c r="B22" s="59">
        <v>4</v>
      </c>
      <c r="C22" s="29" t="s">
        <v>396</v>
      </c>
      <c r="D22" s="44" t="s">
        <v>18</v>
      </c>
      <c r="E22" s="18"/>
      <c r="F22" s="21"/>
      <c r="G22" s="22"/>
      <c r="H22" s="56"/>
    </row>
    <row r="23" spans="1:8" ht="13.2" x14ac:dyDescent="0.25">
      <c r="A23" s="17"/>
      <c r="B23" s="76" t="s">
        <v>397</v>
      </c>
      <c r="C23" s="74"/>
      <c r="D23" s="75"/>
      <c r="E23" s="73"/>
      <c r="F23" s="74"/>
      <c r="G23" s="18"/>
      <c r="H23" s="56"/>
    </row>
    <row r="24" spans="1:8" ht="13.2" x14ac:dyDescent="0.25">
      <c r="F24" s="61"/>
      <c r="G24" s="22"/>
      <c r="H24" s="56"/>
    </row>
    <row r="25" spans="1:8" ht="15.6" x14ac:dyDescent="0.25">
      <c r="A25" s="23">
        <v>4</v>
      </c>
      <c r="B25" s="72" t="s">
        <v>35</v>
      </c>
      <c r="C25" s="73"/>
      <c r="D25" s="73"/>
      <c r="E25" s="74"/>
      <c r="F25" s="57" t="s">
        <v>398</v>
      </c>
      <c r="G25" s="26">
        <f ca="1">IF($H25=2000,,RANK(H25,$H$4:$H$45,TRUE))</f>
        <v>4</v>
      </c>
      <c r="H25" s="58">
        <f ca="1">IFERROR(__xludf.DUMMYFUNCTION("IF(REGEXMATCH(F25,""^\d{1,2}:\d\d,\d{1,2}""),VALUE(LEFT($F25,SEARCH("":"",F25)-1))*60+VALUE(MID($F25,SEARCH("":"",F25)+1,LEN($F25))),2000)"),1270.2)</f>
        <v>1270.2</v>
      </c>
    </row>
    <row r="26" spans="1:8" ht="13.2" x14ac:dyDescent="0.25">
      <c r="A26" s="17"/>
      <c r="B26" s="28">
        <v>1</v>
      </c>
      <c r="C26" s="29" t="s">
        <v>399</v>
      </c>
      <c r="D26" s="44" t="s">
        <v>26</v>
      </c>
      <c r="E26" s="18"/>
      <c r="F26" s="21"/>
      <c r="G26" s="22"/>
      <c r="H26" s="56"/>
    </row>
    <row r="27" spans="1:8" ht="13.2" x14ac:dyDescent="0.25">
      <c r="A27" s="17"/>
      <c r="B27" s="28">
        <v>2</v>
      </c>
      <c r="C27" s="29" t="s">
        <v>400</v>
      </c>
      <c r="D27" s="44" t="s">
        <v>18</v>
      </c>
      <c r="E27" s="18"/>
      <c r="F27" s="21"/>
      <c r="G27" s="22"/>
      <c r="H27" s="56"/>
    </row>
    <row r="28" spans="1:8" ht="13.2" x14ac:dyDescent="0.25">
      <c r="A28" s="17"/>
      <c r="B28" s="28">
        <v>3</v>
      </c>
      <c r="C28" s="29" t="s">
        <v>401</v>
      </c>
      <c r="D28" s="44" t="s">
        <v>26</v>
      </c>
      <c r="E28" s="18"/>
      <c r="F28" s="21"/>
      <c r="G28" s="22"/>
      <c r="H28" s="56"/>
    </row>
    <row r="29" spans="1:8" ht="13.2" x14ac:dyDescent="0.25">
      <c r="A29" s="17"/>
      <c r="B29" s="59">
        <v>4</v>
      </c>
      <c r="C29" s="29" t="s">
        <v>402</v>
      </c>
      <c r="D29" s="44" t="s">
        <v>15</v>
      </c>
      <c r="E29" s="18"/>
      <c r="F29" s="21"/>
      <c r="G29" s="22"/>
      <c r="H29" s="56"/>
    </row>
    <row r="30" spans="1:8" ht="13.2" x14ac:dyDescent="0.25">
      <c r="A30" s="17"/>
      <c r="B30" s="76" t="s">
        <v>403</v>
      </c>
      <c r="C30" s="74"/>
      <c r="D30" s="75"/>
      <c r="E30" s="73"/>
      <c r="F30" s="74"/>
      <c r="G30" s="18"/>
      <c r="H30" s="56"/>
    </row>
    <row r="31" spans="1:8" ht="13.2" x14ac:dyDescent="0.25">
      <c r="F31" s="61"/>
      <c r="G31" s="22"/>
      <c r="H31" s="56"/>
    </row>
    <row r="32" spans="1:8" ht="15.6" x14ac:dyDescent="0.25">
      <c r="A32" s="23">
        <v>5</v>
      </c>
      <c r="B32" s="72" t="s">
        <v>368</v>
      </c>
      <c r="C32" s="73"/>
      <c r="D32" s="73"/>
      <c r="E32" s="74"/>
      <c r="F32" s="57" t="s">
        <v>404</v>
      </c>
      <c r="G32" s="26">
        <f ca="1">IF($H32=2000,,RANK(H32,$H$4:$H$45,TRUE))</f>
        <v>5</v>
      </c>
      <c r="H32" s="58">
        <f ca="1">IFERROR(__xludf.DUMMYFUNCTION("IF(REGEXMATCH(F32,""^\d{1,2}:\d\d,\d{1,2}""),VALUE(LEFT($F32,SEARCH("":"",F32)-1))*60+VALUE(MID($F32,SEARCH("":"",F32)+1,LEN($F32))),2000)"),1271.1)</f>
        <v>1271.0999999999999</v>
      </c>
    </row>
    <row r="33" spans="1:8" ht="13.2" x14ac:dyDescent="0.25">
      <c r="A33" s="17"/>
      <c r="B33" s="28">
        <v>1</v>
      </c>
      <c r="C33" s="29" t="s">
        <v>405</v>
      </c>
      <c r="D33" s="44" t="s">
        <v>10</v>
      </c>
      <c r="E33" s="18"/>
      <c r="F33" s="21"/>
      <c r="G33" s="22"/>
      <c r="H33" s="56"/>
    </row>
    <row r="34" spans="1:8" ht="13.2" x14ac:dyDescent="0.25">
      <c r="A34" s="17"/>
      <c r="B34" s="28">
        <v>2</v>
      </c>
      <c r="C34" s="29" t="s">
        <v>406</v>
      </c>
      <c r="D34" s="44" t="s">
        <v>26</v>
      </c>
      <c r="E34" s="18"/>
      <c r="F34" s="21"/>
      <c r="G34" s="22"/>
      <c r="H34" s="56"/>
    </row>
    <row r="35" spans="1:8" ht="13.2" x14ac:dyDescent="0.25">
      <c r="A35" s="17"/>
      <c r="B35" s="28">
        <v>3</v>
      </c>
      <c r="C35" s="29" t="s">
        <v>407</v>
      </c>
      <c r="D35" s="44" t="s">
        <v>26</v>
      </c>
      <c r="E35" s="18"/>
      <c r="F35" s="21"/>
      <c r="G35" s="22"/>
      <c r="H35" s="56"/>
    </row>
    <row r="36" spans="1:8" ht="13.2" x14ac:dyDescent="0.25">
      <c r="A36" s="17"/>
      <c r="B36" s="59">
        <v>4</v>
      </c>
      <c r="C36" s="29" t="s">
        <v>408</v>
      </c>
      <c r="D36" s="44" t="s">
        <v>18</v>
      </c>
      <c r="E36" s="18"/>
      <c r="F36" s="21"/>
      <c r="G36" s="22"/>
      <c r="H36" s="56"/>
    </row>
    <row r="37" spans="1:8" ht="13.2" x14ac:dyDescent="0.25">
      <c r="A37" s="17"/>
      <c r="B37" s="76" t="s">
        <v>409</v>
      </c>
      <c r="C37" s="74"/>
      <c r="D37" s="75"/>
      <c r="E37" s="73"/>
      <c r="F37" s="74"/>
      <c r="G37" s="18"/>
      <c r="H37" s="56"/>
    </row>
    <row r="38" spans="1:8" ht="13.2" x14ac:dyDescent="0.25">
      <c r="F38" s="61"/>
      <c r="G38" s="22"/>
      <c r="H38" s="56"/>
    </row>
    <row r="39" spans="1:8" ht="15.6" x14ac:dyDescent="0.25">
      <c r="A39" s="23">
        <v>6</v>
      </c>
      <c r="B39" s="72" t="s">
        <v>58</v>
      </c>
      <c r="C39" s="73"/>
      <c r="D39" s="73"/>
      <c r="E39" s="74"/>
      <c r="F39" s="57" t="s">
        <v>410</v>
      </c>
      <c r="G39" s="26">
        <f ca="1">IF($H39=2000,,RANK(H39,$H$4:$H$45,TRUE))</f>
        <v>6</v>
      </c>
      <c r="H39" s="58">
        <f ca="1">IFERROR(__xludf.DUMMYFUNCTION("IF(REGEXMATCH(F39,""^\d{1,2}:\d\d,\d{1,2}""),VALUE(LEFT($F39,SEARCH("":"",F39)-1))*60+VALUE(MID($F39,SEARCH("":"",F39)+1,LEN($F39))),2000)"),1309.4)</f>
        <v>1309.4000000000001</v>
      </c>
    </row>
    <row r="40" spans="1:8" ht="13.2" x14ac:dyDescent="0.25">
      <c r="A40" s="17"/>
      <c r="B40" s="28">
        <v>1</v>
      </c>
      <c r="C40" s="29" t="s">
        <v>411</v>
      </c>
      <c r="D40" s="44" t="s">
        <v>32</v>
      </c>
      <c r="E40" s="18"/>
      <c r="F40" s="21"/>
      <c r="G40" s="22"/>
      <c r="H40" s="56"/>
    </row>
    <row r="41" spans="1:8" ht="13.2" x14ac:dyDescent="0.25">
      <c r="A41" s="17"/>
      <c r="B41" s="28">
        <v>2</v>
      </c>
      <c r="C41" s="29" t="s">
        <v>412</v>
      </c>
      <c r="D41" s="44" t="s">
        <v>10</v>
      </c>
      <c r="E41" s="18"/>
      <c r="F41" s="21"/>
      <c r="G41" s="22"/>
      <c r="H41" s="56"/>
    </row>
    <row r="42" spans="1:8" ht="13.2" x14ac:dyDescent="0.25">
      <c r="A42" s="17"/>
      <c r="B42" s="28">
        <v>3</v>
      </c>
      <c r="C42" s="29" t="s">
        <v>413</v>
      </c>
      <c r="D42" s="44" t="s">
        <v>32</v>
      </c>
      <c r="E42" s="18"/>
      <c r="F42" s="21"/>
      <c r="G42" s="22"/>
      <c r="H42" s="56"/>
    </row>
    <row r="43" spans="1:8" ht="13.2" x14ac:dyDescent="0.25">
      <c r="A43" s="17"/>
      <c r="B43" s="59">
        <v>4</v>
      </c>
      <c r="C43" s="29" t="s">
        <v>414</v>
      </c>
      <c r="D43" s="44" t="s">
        <v>26</v>
      </c>
      <c r="E43" s="18"/>
      <c r="F43" s="21"/>
      <c r="G43" s="22"/>
      <c r="H43" s="56"/>
    </row>
    <row r="44" spans="1:8" ht="13.2" x14ac:dyDescent="0.25">
      <c r="A44" s="17"/>
      <c r="B44" s="76" t="s">
        <v>415</v>
      </c>
      <c r="C44" s="74"/>
      <c r="D44" s="75"/>
      <c r="E44" s="73"/>
      <c r="F44" s="74"/>
      <c r="G44" s="18"/>
      <c r="H44" s="56"/>
    </row>
    <row r="45" spans="1:8" ht="13.2" x14ac:dyDescent="0.25">
      <c r="F45" s="61"/>
      <c r="G45" s="22"/>
      <c r="H45" s="56"/>
    </row>
    <row r="46" spans="1:8" ht="13.2" x14ac:dyDescent="0.25">
      <c r="G46" s="22"/>
      <c r="H46" s="56"/>
    </row>
    <row r="47" spans="1:8" ht="13.2" x14ac:dyDescent="0.25">
      <c r="G47" s="22"/>
      <c r="H47" s="56"/>
    </row>
    <row r="48" spans="1:8" ht="13.2" x14ac:dyDescent="0.25">
      <c r="G48" s="22"/>
      <c r="H48" s="56"/>
    </row>
    <row r="49" spans="7:8" ht="13.2" x14ac:dyDescent="0.25">
      <c r="G49" s="22"/>
      <c r="H49" s="56"/>
    </row>
    <row r="50" spans="7:8" ht="13.2" x14ac:dyDescent="0.25">
      <c r="G50" s="22"/>
      <c r="H50" s="56"/>
    </row>
    <row r="51" spans="7:8" ht="13.2" x14ac:dyDescent="0.25">
      <c r="G51" s="22"/>
      <c r="H51" s="56"/>
    </row>
    <row r="52" spans="7:8" ht="13.2" x14ac:dyDescent="0.25">
      <c r="G52" s="22"/>
      <c r="H52" s="56"/>
    </row>
    <row r="53" spans="7:8" ht="13.2" x14ac:dyDescent="0.25">
      <c r="G53" s="22"/>
      <c r="H53" s="56"/>
    </row>
    <row r="54" spans="7:8" ht="13.2" x14ac:dyDescent="0.25">
      <c r="G54" s="22"/>
      <c r="H54" s="56"/>
    </row>
    <row r="55" spans="7:8" ht="13.2" x14ac:dyDescent="0.25">
      <c r="G55" s="22"/>
      <c r="H55" s="56"/>
    </row>
    <row r="56" spans="7:8" ht="13.2" x14ac:dyDescent="0.25">
      <c r="G56" s="22"/>
      <c r="H56" s="56"/>
    </row>
    <row r="57" spans="7:8" ht="13.2" x14ac:dyDescent="0.25">
      <c r="G57" s="22"/>
      <c r="H57" s="56"/>
    </row>
    <row r="58" spans="7:8" ht="13.2" x14ac:dyDescent="0.25">
      <c r="G58" s="22"/>
      <c r="H58" s="56"/>
    </row>
    <row r="59" spans="7:8" ht="13.2" x14ac:dyDescent="0.25">
      <c r="G59" s="22"/>
      <c r="H59" s="56"/>
    </row>
    <row r="60" spans="7:8" ht="13.2" x14ac:dyDescent="0.25">
      <c r="G60" s="22"/>
      <c r="H60" s="56"/>
    </row>
    <row r="61" spans="7:8" ht="13.2" x14ac:dyDescent="0.25">
      <c r="G61" s="22"/>
      <c r="H61" s="56"/>
    </row>
    <row r="62" spans="7:8" ht="13.2" x14ac:dyDescent="0.25">
      <c r="G62" s="22"/>
      <c r="H62" s="56"/>
    </row>
    <row r="63" spans="7:8" ht="13.2" x14ac:dyDescent="0.25">
      <c r="G63" s="22"/>
      <c r="H63" s="56"/>
    </row>
    <row r="64" spans="7:8" ht="13.2" x14ac:dyDescent="0.25">
      <c r="G64" s="22"/>
      <c r="H64" s="56"/>
    </row>
    <row r="65" spans="7:8" ht="13.2" x14ac:dyDescent="0.25">
      <c r="G65" s="22"/>
      <c r="H65" s="56"/>
    </row>
    <row r="66" spans="7:8" ht="13.2" x14ac:dyDescent="0.25">
      <c r="G66" s="22"/>
      <c r="H66" s="56"/>
    </row>
    <row r="67" spans="7:8" ht="13.2" x14ac:dyDescent="0.25">
      <c r="G67" s="22"/>
      <c r="H67" s="56"/>
    </row>
    <row r="68" spans="7:8" ht="13.2" x14ac:dyDescent="0.25">
      <c r="G68" s="22"/>
      <c r="H68" s="56"/>
    </row>
    <row r="69" spans="7:8" ht="13.2" x14ac:dyDescent="0.25">
      <c r="G69" s="22"/>
      <c r="H69" s="56"/>
    </row>
    <row r="70" spans="7:8" ht="13.2" x14ac:dyDescent="0.25">
      <c r="G70" s="22"/>
      <c r="H70" s="56"/>
    </row>
    <row r="71" spans="7:8" ht="13.2" x14ac:dyDescent="0.25">
      <c r="G71" s="22"/>
      <c r="H71" s="56"/>
    </row>
    <row r="72" spans="7:8" ht="13.2" x14ac:dyDescent="0.25">
      <c r="G72" s="22"/>
      <c r="H72" s="56"/>
    </row>
    <row r="73" spans="7:8" ht="13.2" x14ac:dyDescent="0.25">
      <c r="G73" s="22"/>
      <c r="H73" s="56"/>
    </row>
    <row r="74" spans="7:8" ht="13.2" x14ac:dyDescent="0.25">
      <c r="G74" s="22"/>
      <c r="H74" s="56"/>
    </row>
    <row r="75" spans="7:8" ht="13.2" x14ac:dyDescent="0.25">
      <c r="G75" s="22"/>
      <c r="H75" s="56"/>
    </row>
    <row r="76" spans="7:8" ht="13.2" x14ac:dyDescent="0.25">
      <c r="G76" s="22"/>
      <c r="H76" s="56"/>
    </row>
    <row r="77" spans="7:8" ht="13.2" x14ac:dyDescent="0.25">
      <c r="G77" s="22"/>
      <c r="H77" s="56"/>
    </row>
    <row r="78" spans="7:8" ht="13.2" x14ac:dyDescent="0.25">
      <c r="G78" s="22"/>
      <c r="H78" s="56"/>
    </row>
    <row r="79" spans="7:8" ht="13.2" x14ac:dyDescent="0.25">
      <c r="G79" s="22"/>
      <c r="H79" s="56"/>
    </row>
    <row r="80" spans="7:8" ht="13.2" x14ac:dyDescent="0.25">
      <c r="G80" s="22"/>
      <c r="H80" s="56"/>
    </row>
    <row r="81" spans="7:8" ht="13.2" x14ac:dyDescent="0.25">
      <c r="G81" s="22"/>
      <c r="H81" s="56"/>
    </row>
    <row r="82" spans="7:8" ht="13.2" x14ac:dyDescent="0.25">
      <c r="G82" s="22"/>
      <c r="H82" s="56"/>
    </row>
    <row r="83" spans="7:8" ht="13.2" x14ac:dyDescent="0.25">
      <c r="G83" s="22"/>
      <c r="H83" s="56"/>
    </row>
    <row r="84" spans="7:8" ht="13.2" x14ac:dyDescent="0.25">
      <c r="G84" s="22"/>
      <c r="H84" s="56"/>
    </row>
    <row r="85" spans="7:8" ht="13.2" x14ac:dyDescent="0.25">
      <c r="G85" s="22"/>
      <c r="H85" s="56"/>
    </row>
    <row r="86" spans="7:8" ht="13.2" x14ac:dyDescent="0.25">
      <c r="G86" s="22"/>
      <c r="H86" s="56"/>
    </row>
    <row r="87" spans="7:8" ht="13.2" x14ac:dyDescent="0.25">
      <c r="G87" s="22"/>
      <c r="H87" s="56"/>
    </row>
    <row r="88" spans="7:8" ht="13.2" x14ac:dyDescent="0.25">
      <c r="G88" s="22"/>
      <c r="H88" s="56"/>
    </row>
    <row r="89" spans="7:8" ht="13.2" x14ac:dyDescent="0.25">
      <c r="G89" s="22"/>
      <c r="H89" s="56"/>
    </row>
    <row r="90" spans="7:8" ht="13.2" x14ac:dyDescent="0.25">
      <c r="G90" s="22"/>
      <c r="H90" s="56"/>
    </row>
    <row r="91" spans="7:8" ht="13.2" x14ac:dyDescent="0.25">
      <c r="G91" s="22"/>
      <c r="H91" s="56"/>
    </row>
    <row r="92" spans="7:8" ht="13.2" x14ac:dyDescent="0.25">
      <c r="G92" s="22"/>
      <c r="H92" s="56"/>
    </row>
    <row r="93" spans="7:8" ht="13.2" x14ac:dyDescent="0.25">
      <c r="G93" s="22"/>
      <c r="H93" s="56"/>
    </row>
    <row r="94" spans="7:8" ht="13.2" x14ac:dyDescent="0.25">
      <c r="G94" s="22"/>
      <c r="H94" s="56"/>
    </row>
    <row r="95" spans="7:8" ht="13.2" x14ac:dyDescent="0.25">
      <c r="G95" s="22"/>
      <c r="H95" s="56"/>
    </row>
    <row r="96" spans="7:8" ht="13.2" x14ac:dyDescent="0.25">
      <c r="G96" s="22"/>
      <c r="H96" s="56"/>
    </row>
    <row r="97" spans="7:8" ht="13.2" x14ac:dyDescent="0.25">
      <c r="G97" s="22"/>
      <c r="H97" s="56"/>
    </row>
    <row r="98" spans="7:8" ht="13.2" x14ac:dyDescent="0.25">
      <c r="G98" s="22"/>
      <c r="H98" s="56"/>
    </row>
    <row r="99" spans="7:8" ht="13.2" x14ac:dyDescent="0.25">
      <c r="G99" s="22"/>
      <c r="H99" s="56"/>
    </row>
    <row r="100" spans="7:8" ht="13.2" x14ac:dyDescent="0.25">
      <c r="G100" s="22"/>
      <c r="H100" s="56"/>
    </row>
    <row r="101" spans="7:8" ht="13.2" x14ac:dyDescent="0.25">
      <c r="G101" s="22"/>
      <c r="H101" s="56"/>
    </row>
    <row r="102" spans="7:8" ht="13.2" x14ac:dyDescent="0.25">
      <c r="G102" s="22"/>
      <c r="H102" s="56"/>
    </row>
    <row r="103" spans="7:8" ht="13.2" x14ac:dyDescent="0.25">
      <c r="G103" s="22"/>
      <c r="H103" s="56"/>
    </row>
    <row r="104" spans="7:8" ht="13.2" x14ac:dyDescent="0.25">
      <c r="G104" s="22"/>
      <c r="H104" s="56"/>
    </row>
    <row r="105" spans="7:8" ht="13.2" x14ac:dyDescent="0.25">
      <c r="G105" s="22"/>
      <c r="H105" s="56"/>
    </row>
    <row r="106" spans="7:8" ht="13.2" x14ac:dyDescent="0.25">
      <c r="G106" s="22"/>
      <c r="H106" s="56"/>
    </row>
    <row r="107" spans="7:8" ht="13.2" x14ac:dyDescent="0.25">
      <c r="G107" s="22"/>
      <c r="H107" s="56"/>
    </row>
    <row r="108" spans="7:8" ht="13.2" x14ac:dyDescent="0.25">
      <c r="G108" s="22"/>
      <c r="H108" s="56"/>
    </row>
    <row r="109" spans="7:8" ht="13.2" x14ac:dyDescent="0.25">
      <c r="G109" s="22"/>
      <c r="H109" s="56"/>
    </row>
    <row r="110" spans="7:8" ht="13.2" x14ac:dyDescent="0.25">
      <c r="G110" s="22"/>
      <c r="H110" s="56"/>
    </row>
    <row r="111" spans="7:8" ht="13.2" x14ac:dyDescent="0.25">
      <c r="G111" s="22"/>
      <c r="H111" s="56"/>
    </row>
    <row r="112" spans="7:8" ht="13.2" x14ac:dyDescent="0.25">
      <c r="G112" s="22"/>
      <c r="H112" s="56"/>
    </row>
    <row r="113" spans="7:8" ht="13.2" x14ac:dyDescent="0.25">
      <c r="G113" s="22"/>
      <c r="H113" s="56"/>
    </row>
    <row r="114" spans="7:8" ht="13.2" x14ac:dyDescent="0.25">
      <c r="G114" s="22"/>
      <c r="H114" s="56"/>
    </row>
    <row r="115" spans="7:8" ht="13.2" x14ac:dyDescent="0.25">
      <c r="G115" s="22"/>
      <c r="H115" s="56"/>
    </row>
    <row r="116" spans="7:8" ht="13.2" x14ac:dyDescent="0.25">
      <c r="G116" s="22"/>
      <c r="H116" s="56"/>
    </row>
    <row r="117" spans="7:8" ht="13.2" x14ac:dyDescent="0.25">
      <c r="G117" s="22"/>
      <c r="H117" s="56"/>
    </row>
    <row r="118" spans="7:8" ht="13.2" x14ac:dyDescent="0.25">
      <c r="G118" s="22"/>
      <c r="H118" s="56"/>
    </row>
    <row r="119" spans="7:8" ht="13.2" x14ac:dyDescent="0.25">
      <c r="G119" s="22"/>
      <c r="H119" s="56"/>
    </row>
    <row r="120" spans="7:8" ht="13.2" x14ac:dyDescent="0.25">
      <c r="G120" s="22"/>
      <c r="H120" s="56"/>
    </row>
    <row r="121" spans="7:8" ht="13.2" x14ac:dyDescent="0.25">
      <c r="G121" s="22"/>
      <c r="H121" s="56"/>
    </row>
    <row r="122" spans="7:8" ht="13.2" x14ac:dyDescent="0.25">
      <c r="G122" s="22"/>
      <c r="H122" s="56"/>
    </row>
    <row r="123" spans="7:8" ht="13.2" x14ac:dyDescent="0.25">
      <c r="G123" s="22"/>
      <c r="H123" s="56"/>
    </row>
    <row r="124" spans="7:8" ht="13.2" x14ac:dyDescent="0.25">
      <c r="G124" s="22"/>
      <c r="H124" s="56"/>
    </row>
    <row r="125" spans="7:8" ht="13.2" x14ac:dyDescent="0.25">
      <c r="G125" s="22"/>
      <c r="H125" s="56"/>
    </row>
    <row r="126" spans="7:8" ht="13.2" x14ac:dyDescent="0.25">
      <c r="G126" s="22"/>
      <c r="H126" s="56"/>
    </row>
    <row r="127" spans="7:8" ht="13.2" x14ac:dyDescent="0.25">
      <c r="G127" s="22"/>
      <c r="H127" s="56"/>
    </row>
    <row r="128" spans="7:8" ht="13.2" x14ac:dyDescent="0.25">
      <c r="G128" s="22"/>
      <c r="H128" s="56"/>
    </row>
    <row r="129" spans="7:8" ht="13.2" x14ac:dyDescent="0.25">
      <c r="G129" s="22"/>
      <c r="H129" s="56"/>
    </row>
    <row r="130" spans="7:8" ht="13.2" x14ac:dyDescent="0.25">
      <c r="G130" s="22"/>
      <c r="H130" s="56"/>
    </row>
    <row r="131" spans="7:8" ht="13.2" x14ac:dyDescent="0.25">
      <c r="G131" s="22"/>
      <c r="H131" s="56"/>
    </row>
    <row r="132" spans="7:8" ht="13.2" x14ac:dyDescent="0.25">
      <c r="G132" s="22"/>
      <c r="H132" s="56"/>
    </row>
    <row r="133" spans="7:8" ht="13.2" x14ac:dyDescent="0.25">
      <c r="G133" s="22"/>
      <c r="H133" s="56"/>
    </row>
    <row r="134" spans="7:8" ht="13.2" x14ac:dyDescent="0.25">
      <c r="G134" s="22"/>
      <c r="H134" s="56"/>
    </row>
    <row r="135" spans="7:8" ht="13.2" x14ac:dyDescent="0.25">
      <c r="G135" s="22"/>
      <c r="H135" s="56"/>
    </row>
    <row r="136" spans="7:8" ht="13.2" x14ac:dyDescent="0.25">
      <c r="G136" s="22"/>
      <c r="H136" s="56"/>
    </row>
    <row r="137" spans="7:8" ht="13.2" x14ac:dyDescent="0.25">
      <c r="G137" s="22"/>
      <c r="H137" s="56"/>
    </row>
    <row r="138" spans="7:8" ht="13.2" x14ac:dyDescent="0.25">
      <c r="G138" s="22"/>
      <c r="H138" s="56"/>
    </row>
    <row r="139" spans="7:8" ht="13.2" x14ac:dyDescent="0.25">
      <c r="G139" s="22"/>
      <c r="H139" s="56"/>
    </row>
    <row r="140" spans="7:8" ht="13.2" x14ac:dyDescent="0.25">
      <c r="G140" s="22"/>
      <c r="H140" s="56"/>
    </row>
    <row r="141" spans="7:8" ht="13.2" x14ac:dyDescent="0.25">
      <c r="G141" s="22"/>
      <c r="H141" s="56"/>
    </row>
    <row r="142" spans="7:8" ht="13.2" x14ac:dyDescent="0.25">
      <c r="G142" s="22"/>
      <c r="H142" s="56"/>
    </row>
    <row r="143" spans="7:8" ht="13.2" x14ac:dyDescent="0.25">
      <c r="G143" s="22"/>
      <c r="H143" s="56"/>
    </row>
    <row r="144" spans="7:8" ht="13.2" x14ac:dyDescent="0.25">
      <c r="G144" s="22"/>
      <c r="H144" s="56"/>
    </row>
    <row r="145" spans="7:8" ht="13.2" x14ac:dyDescent="0.25">
      <c r="G145" s="22"/>
      <c r="H145" s="56"/>
    </row>
    <row r="146" spans="7:8" ht="13.2" x14ac:dyDescent="0.25">
      <c r="G146" s="22"/>
      <c r="H146" s="56"/>
    </row>
    <row r="147" spans="7:8" ht="13.2" x14ac:dyDescent="0.25">
      <c r="G147" s="22"/>
      <c r="H147" s="56"/>
    </row>
    <row r="148" spans="7:8" ht="13.2" x14ac:dyDescent="0.25">
      <c r="G148" s="22"/>
      <c r="H148" s="56"/>
    </row>
    <row r="149" spans="7:8" ht="13.2" x14ac:dyDescent="0.25">
      <c r="G149" s="22"/>
      <c r="H149" s="56"/>
    </row>
    <row r="150" spans="7:8" ht="13.2" x14ac:dyDescent="0.25">
      <c r="G150" s="22"/>
      <c r="H150" s="56"/>
    </row>
    <row r="151" spans="7:8" ht="13.2" x14ac:dyDescent="0.25">
      <c r="G151" s="22"/>
      <c r="H151" s="56"/>
    </row>
    <row r="152" spans="7:8" ht="13.2" x14ac:dyDescent="0.25">
      <c r="G152" s="22"/>
      <c r="H152" s="56"/>
    </row>
    <row r="153" spans="7:8" ht="13.2" x14ac:dyDescent="0.25">
      <c r="G153" s="22"/>
      <c r="H153" s="56"/>
    </row>
    <row r="154" spans="7:8" ht="13.2" x14ac:dyDescent="0.25">
      <c r="G154" s="22"/>
      <c r="H154" s="56"/>
    </row>
    <row r="155" spans="7:8" ht="13.2" x14ac:dyDescent="0.25">
      <c r="G155" s="22"/>
      <c r="H155" s="56"/>
    </row>
    <row r="156" spans="7:8" ht="13.2" x14ac:dyDescent="0.25">
      <c r="G156" s="22"/>
      <c r="H156" s="56"/>
    </row>
    <row r="157" spans="7:8" ht="13.2" x14ac:dyDescent="0.25">
      <c r="G157" s="22"/>
      <c r="H157" s="56"/>
    </row>
    <row r="158" spans="7:8" ht="13.2" x14ac:dyDescent="0.25">
      <c r="G158" s="22"/>
      <c r="H158" s="56"/>
    </row>
    <row r="159" spans="7:8" ht="13.2" x14ac:dyDescent="0.25">
      <c r="G159" s="22"/>
      <c r="H159" s="56"/>
    </row>
    <row r="160" spans="7:8" ht="13.2" x14ac:dyDescent="0.25">
      <c r="G160" s="22"/>
      <c r="H160" s="56"/>
    </row>
    <row r="161" spans="7:8" ht="13.2" x14ac:dyDescent="0.25">
      <c r="G161" s="22"/>
      <c r="H161" s="56"/>
    </row>
    <row r="162" spans="7:8" ht="13.2" x14ac:dyDescent="0.25">
      <c r="G162" s="22"/>
      <c r="H162" s="56"/>
    </row>
    <row r="163" spans="7:8" ht="13.2" x14ac:dyDescent="0.25">
      <c r="G163" s="22"/>
      <c r="H163" s="56"/>
    </row>
    <row r="164" spans="7:8" ht="13.2" x14ac:dyDescent="0.25">
      <c r="G164" s="22"/>
      <c r="H164" s="56"/>
    </row>
    <row r="165" spans="7:8" ht="13.2" x14ac:dyDescent="0.25">
      <c r="G165" s="22"/>
      <c r="H165" s="56"/>
    </row>
    <row r="166" spans="7:8" ht="13.2" x14ac:dyDescent="0.25">
      <c r="G166" s="22"/>
      <c r="H166" s="56"/>
    </row>
    <row r="167" spans="7:8" ht="13.2" x14ac:dyDescent="0.25">
      <c r="G167" s="22"/>
      <c r="H167" s="56"/>
    </row>
    <row r="168" spans="7:8" ht="13.2" x14ac:dyDescent="0.25">
      <c r="G168" s="22"/>
      <c r="H168" s="56"/>
    </row>
    <row r="169" spans="7:8" ht="13.2" x14ac:dyDescent="0.25">
      <c r="G169" s="22"/>
      <c r="H169" s="56"/>
    </row>
    <row r="170" spans="7:8" ht="13.2" x14ac:dyDescent="0.25">
      <c r="G170" s="22"/>
      <c r="H170" s="56"/>
    </row>
    <row r="171" spans="7:8" ht="13.2" x14ac:dyDescent="0.25">
      <c r="G171" s="22"/>
      <c r="H171" s="56"/>
    </row>
    <row r="172" spans="7:8" ht="13.2" x14ac:dyDescent="0.25">
      <c r="G172" s="22"/>
      <c r="H172" s="56"/>
    </row>
    <row r="173" spans="7:8" ht="13.2" x14ac:dyDescent="0.25">
      <c r="G173" s="22"/>
      <c r="H173" s="56"/>
    </row>
    <row r="174" spans="7:8" ht="13.2" x14ac:dyDescent="0.25">
      <c r="G174" s="22"/>
      <c r="H174" s="56"/>
    </row>
    <row r="175" spans="7:8" ht="13.2" x14ac:dyDescent="0.25">
      <c r="G175" s="22"/>
      <c r="H175" s="56"/>
    </row>
    <row r="176" spans="7:8" ht="13.2" x14ac:dyDescent="0.25">
      <c r="G176" s="22"/>
      <c r="H176" s="56"/>
    </row>
    <row r="177" spans="7:8" ht="13.2" x14ac:dyDescent="0.25">
      <c r="G177" s="22"/>
      <c r="H177" s="56"/>
    </row>
    <row r="178" spans="7:8" ht="13.2" x14ac:dyDescent="0.25">
      <c r="G178" s="22"/>
      <c r="H178" s="56"/>
    </row>
    <row r="179" spans="7:8" ht="13.2" x14ac:dyDescent="0.25">
      <c r="G179" s="22"/>
      <c r="H179" s="56"/>
    </row>
    <row r="180" spans="7:8" ht="13.2" x14ac:dyDescent="0.25">
      <c r="G180" s="22"/>
      <c r="H180" s="56"/>
    </row>
    <row r="181" spans="7:8" ht="13.2" x14ac:dyDescent="0.25">
      <c r="G181" s="22"/>
      <c r="H181" s="56"/>
    </row>
    <row r="182" spans="7:8" ht="13.2" x14ac:dyDescent="0.25">
      <c r="G182" s="22"/>
      <c r="H182" s="56"/>
    </row>
    <row r="183" spans="7:8" ht="13.2" x14ac:dyDescent="0.25">
      <c r="G183" s="22"/>
      <c r="H183" s="56"/>
    </row>
    <row r="184" spans="7:8" ht="13.2" x14ac:dyDescent="0.25">
      <c r="G184" s="22"/>
      <c r="H184" s="56"/>
    </row>
    <row r="185" spans="7:8" ht="13.2" x14ac:dyDescent="0.25">
      <c r="G185" s="22"/>
      <c r="H185" s="56"/>
    </row>
    <row r="186" spans="7:8" ht="13.2" x14ac:dyDescent="0.25">
      <c r="G186" s="22"/>
      <c r="H186" s="56"/>
    </row>
    <row r="187" spans="7:8" ht="13.2" x14ac:dyDescent="0.25">
      <c r="G187" s="22"/>
      <c r="H187" s="56"/>
    </row>
    <row r="188" spans="7:8" ht="13.2" x14ac:dyDescent="0.25">
      <c r="G188" s="22"/>
      <c r="H188" s="56"/>
    </row>
    <row r="189" spans="7:8" ht="13.2" x14ac:dyDescent="0.25">
      <c r="G189" s="22"/>
      <c r="H189" s="56"/>
    </row>
    <row r="190" spans="7:8" ht="13.2" x14ac:dyDescent="0.25">
      <c r="G190" s="22"/>
      <c r="H190" s="56"/>
    </row>
    <row r="191" spans="7:8" ht="13.2" x14ac:dyDescent="0.25">
      <c r="G191" s="22"/>
      <c r="H191" s="56"/>
    </row>
    <row r="192" spans="7:8" ht="13.2" x14ac:dyDescent="0.25">
      <c r="G192" s="22"/>
      <c r="H192" s="56"/>
    </row>
    <row r="193" spans="7:8" ht="13.2" x14ac:dyDescent="0.25">
      <c r="G193" s="22"/>
      <c r="H193" s="56"/>
    </row>
    <row r="194" spans="7:8" ht="13.2" x14ac:dyDescent="0.25">
      <c r="G194" s="22"/>
      <c r="H194" s="56"/>
    </row>
    <row r="195" spans="7:8" ht="13.2" x14ac:dyDescent="0.25">
      <c r="G195" s="22"/>
      <c r="H195" s="56"/>
    </row>
    <row r="196" spans="7:8" ht="13.2" x14ac:dyDescent="0.25">
      <c r="G196" s="22"/>
      <c r="H196" s="56"/>
    </row>
    <row r="197" spans="7:8" ht="13.2" x14ac:dyDescent="0.25">
      <c r="G197" s="22"/>
      <c r="H197" s="56"/>
    </row>
    <row r="198" spans="7:8" ht="13.2" x14ac:dyDescent="0.25">
      <c r="G198" s="22"/>
      <c r="H198" s="56"/>
    </row>
    <row r="199" spans="7:8" ht="13.2" x14ac:dyDescent="0.25">
      <c r="G199" s="22"/>
      <c r="H199" s="56"/>
    </row>
    <row r="200" spans="7:8" ht="13.2" x14ac:dyDescent="0.25">
      <c r="G200" s="22"/>
      <c r="H200" s="56"/>
    </row>
    <row r="201" spans="7:8" ht="13.2" x14ac:dyDescent="0.25">
      <c r="G201" s="22"/>
      <c r="H201" s="56"/>
    </row>
    <row r="202" spans="7:8" ht="13.2" x14ac:dyDescent="0.25">
      <c r="G202" s="22"/>
      <c r="H202" s="56"/>
    </row>
    <row r="203" spans="7:8" ht="13.2" x14ac:dyDescent="0.25">
      <c r="G203" s="22"/>
      <c r="H203" s="56"/>
    </row>
    <row r="204" spans="7:8" ht="13.2" x14ac:dyDescent="0.25">
      <c r="G204" s="22"/>
      <c r="H204" s="56"/>
    </row>
    <row r="205" spans="7:8" ht="13.2" x14ac:dyDescent="0.25">
      <c r="G205" s="22"/>
      <c r="H205" s="56"/>
    </row>
    <row r="206" spans="7:8" ht="13.2" x14ac:dyDescent="0.25">
      <c r="G206" s="22"/>
      <c r="H206" s="56"/>
    </row>
    <row r="207" spans="7:8" ht="13.2" x14ac:dyDescent="0.25">
      <c r="G207" s="22"/>
      <c r="H207" s="56"/>
    </row>
    <row r="208" spans="7:8" ht="13.2" x14ac:dyDescent="0.25">
      <c r="G208" s="22"/>
      <c r="H208" s="56"/>
    </row>
    <row r="209" spans="7:8" ht="13.2" x14ac:dyDescent="0.25">
      <c r="G209" s="22"/>
      <c r="H209" s="56"/>
    </row>
    <row r="210" spans="7:8" ht="13.2" x14ac:dyDescent="0.25">
      <c r="G210" s="22"/>
      <c r="H210" s="56"/>
    </row>
    <row r="211" spans="7:8" ht="13.2" x14ac:dyDescent="0.25">
      <c r="G211" s="22"/>
      <c r="H211" s="56"/>
    </row>
    <row r="212" spans="7:8" ht="13.2" x14ac:dyDescent="0.25">
      <c r="G212" s="22"/>
      <c r="H212" s="56"/>
    </row>
    <row r="213" spans="7:8" ht="13.2" x14ac:dyDescent="0.25">
      <c r="G213" s="22"/>
      <c r="H213" s="56"/>
    </row>
    <row r="214" spans="7:8" ht="13.2" x14ac:dyDescent="0.25">
      <c r="G214" s="22"/>
      <c r="H214" s="56"/>
    </row>
    <row r="215" spans="7:8" ht="13.2" x14ac:dyDescent="0.25">
      <c r="G215" s="22"/>
      <c r="H215" s="56"/>
    </row>
    <row r="216" spans="7:8" ht="13.2" x14ac:dyDescent="0.25">
      <c r="G216" s="22"/>
      <c r="H216" s="56"/>
    </row>
    <row r="217" spans="7:8" ht="13.2" x14ac:dyDescent="0.25">
      <c r="G217" s="22"/>
      <c r="H217" s="56"/>
    </row>
    <row r="218" spans="7:8" ht="13.2" x14ac:dyDescent="0.25">
      <c r="G218" s="22"/>
      <c r="H218" s="56"/>
    </row>
    <row r="219" spans="7:8" ht="13.2" x14ac:dyDescent="0.25">
      <c r="G219" s="22"/>
      <c r="H219" s="56"/>
    </row>
    <row r="220" spans="7:8" ht="13.2" x14ac:dyDescent="0.25">
      <c r="G220" s="22"/>
      <c r="H220" s="56"/>
    </row>
    <row r="221" spans="7:8" ht="13.2" x14ac:dyDescent="0.25">
      <c r="G221" s="22"/>
      <c r="H221" s="56"/>
    </row>
    <row r="222" spans="7:8" ht="13.2" x14ac:dyDescent="0.25">
      <c r="G222" s="22"/>
      <c r="H222" s="56"/>
    </row>
    <row r="223" spans="7:8" ht="13.2" x14ac:dyDescent="0.25">
      <c r="G223" s="22"/>
      <c r="H223" s="56"/>
    </row>
    <row r="224" spans="7:8" ht="13.2" x14ac:dyDescent="0.25">
      <c r="G224" s="22"/>
      <c r="H224" s="56"/>
    </row>
    <row r="225" spans="7:8" ht="13.2" x14ac:dyDescent="0.25">
      <c r="G225" s="22"/>
      <c r="H225" s="56"/>
    </row>
    <row r="226" spans="7:8" ht="13.2" x14ac:dyDescent="0.25">
      <c r="G226" s="22"/>
      <c r="H226" s="56"/>
    </row>
    <row r="227" spans="7:8" ht="13.2" x14ac:dyDescent="0.25">
      <c r="G227" s="22"/>
      <c r="H227" s="56"/>
    </row>
    <row r="228" spans="7:8" ht="13.2" x14ac:dyDescent="0.25">
      <c r="G228" s="22"/>
      <c r="H228" s="56"/>
    </row>
    <row r="229" spans="7:8" ht="13.2" x14ac:dyDescent="0.25">
      <c r="G229" s="22"/>
      <c r="H229" s="56"/>
    </row>
    <row r="230" spans="7:8" ht="13.2" x14ac:dyDescent="0.25">
      <c r="G230" s="22"/>
      <c r="H230" s="56"/>
    </row>
    <row r="231" spans="7:8" ht="13.2" x14ac:dyDescent="0.25">
      <c r="G231" s="22"/>
      <c r="H231" s="56"/>
    </row>
    <row r="232" spans="7:8" ht="13.2" x14ac:dyDescent="0.25">
      <c r="G232" s="22"/>
      <c r="H232" s="56"/>
    </row>
    <row r="233" spans="7:8" ht="13.2" x14ac:dyDescent="0.25">
      <c r="G233" s="22"/>
      <c r="H233" s="56"/>
    </row>
    <row r="234" spans="7:8" ht="13.2" x14ac:dyDescent="0.25">
      <c r="G234" s="22"/>
      <c r="H234" s="56"/>
    </row>
    <row r="235" spans="7:8" ht="13.2" x14ac:dyDescent="0.25">
      <c r="G235" s="22"/>
      <c r="H235" s="56"/>
    </row>
    <row r="236" spans="7:8" ht="13.2" x14ac:dyDescent="0.25">
      <c r="G236" s="22"/>
      <c r="H236" s="56"/>
    </row>
    <row r="237" spans="7:8" ht="13.2" x14ac:dyDescent="0.25">
      <c r="G237" s="22"/>
      <c r="H237" s="56"/>
    </row>
    <row r="238" spans="7:8" ht="13.2" x14ac:dyDescent="0.25">
      <c r="G238" s="22"/>
      <c r="H238" s="56"/>
    </row>
    <row r="239" spans="7:8" ht="13.2" x14ac:dyDescent="0.25">
      <c r="G239" s="22"/>
      <c r="H239" s="56"/>
    </row>
    <row r="240" spans="7:8" ht="13.2" x14ac:dyDescent="0.25">
      <c r="G240" s="22"/>
      <c r="H240" s="56"/>
    </row>
    <row r="241" spans="7:8" ht="13.2" x14ac:dyDescent="0.25">
      <c r="G241" s="22"/>
      <c r="H241" s="56"/>
    </row>
    <row r="242" spans="7:8" ht="13.2" x14ac:dyDescent="0.25">
      <c r="G242" s="22"/>
      <c r="H242" s="56"/>
    </row>
    <row r="243" spans="7:8" ht="13.2" x14ac:dyDescent="0.25">
      <c r="G243" s="22"/>
      <c r="H243" s="56"/>
    </row>
    <row r="244" spans="7:8" ht="13.2" x14ac:dyDescent="0.25">
      <c r="G244" s="22"/>
      <c r="H244" s="56"/>
    </row>
    <row r="245" spans="7:8" ht="13.2" x14ac:dyDescent="0.25">
      <c r="G245" s="22"/>
      <c r="H245" s="56"/>
    </row>
    <row r="246" spans="7:8" ht="13.2" x14ac:dyDescent="0.25">
      <c r="G246" s="22"/>
      <c r="H246" s="56"/>
    </row>
    <row r="247" spans="7:8" ht="13.2" x14ac:dyDescent="0.25">
      <c r="G247" s="22"/>
      <c r="H247" s="56"/>
    </row>
    <row r="248" spans="7:8" ht="13.2" x14ac:dyDescent="0.25">
      <c r="G248" s="22"/>
      <c r="H248" s="56"/>
    </row>
    <row r="249" spans="7:8" ht="13.2" x14ac:dyDescent="0.25">
      <c r="G249" s="22"/>
      <c r="H249" s="56"/>
    </row>
    <row r="250" spans="7:8" ht="13.2" x14ac:dyDescent="0.25">
      <c r="G250" s="22"/>
      <c r="H250" s="56"/>
    </row>
    <row r="251" spans="7:8" ht="13.2" x14ac:dyDescent="0.25">
      <c r="G251" s="22"/>
      <c r="H251" s="56"/>
    </row>
    <row r="252" spans="7:8" ht="13.2" x14ac:dyDescent="0.25">
      <c r="G252" s="22"/>
      <c r="H252" s="56"/>
    </row>
    <row r="253" spans="7:8" ht="13.2" x14ac:dyDescent="0.25">
      <c r="G253" s="22"/>
      <c r="H253" s="56"/>
    </row>
    <row r="254" spans="7:8" ht="13.2" x14ac:dyDescent="0.25">
      <c r="G254" s="22"/>
      <c r="H254" s="56"/>
    </row>
    <row r="255" spans="7:8" ht="13.2" x14ac:dyDescent="0.25">
      <c r="G255" s="22"/>
      <c r="H255" s="56"/>
    </row>
    <row r="256" spans="7:8" ht="13.2" x14ac:dyDescent="0.25">
      <c r="G256" s="22"/>
      <c r="H256" s="56"/>
    </row>
    <row r="257" spans="7:8" ht="13.2" x14ac:dyDescent="0.25">
      <c r="G257" s="22"/>
      <c r="H257" s="56"/>
    </row>
    <row r="258" spans="7:8" ht="13.2" x14ac:dyDescent="0.25">
      <c r="G258" s="22"/>
      <c r="H258" s="56"/>
    </row>
    <row r="259" spans="7:8" ht="13.2" x14ac:dyDescent="0.25">
      <c r="G259" s="22"/>
      <c r="H259" s="56"/>
    </row>
    <row r="260" spans="7:8" ht="13.2" x14ac:dyDescent="0.25">
      <c r="G260" s="22"/>
      <c r="H260" s="56"/>
    </row>
    <row r="261" spans="7:8" ht="13.2" x14ac:dyDescent="0.25">
      <c r="G261" s="22"/>
      <c r="H261" s="56"/>
    </row>
    <row r="262" spans="7:8" ht="13.2" x14ac:dyDescent="0.25">
      <c r="G262" s="22"/>
      <c r="H262" s="56"/>
    </row>
    <row r="263" spans="7:8" ht="13.2" x14ac:dyDescent="0.25">
      <c r="G263" s="22"/>
      <c r="H263" s="56"/>
    </row>
    <row r="264" spans="7:8" ht="13.2" x14ac:dyDescent="0.25">
      <c r="G264" s="22"/>
      <c r="H264" s="56"/>
    </row>
    <row r="265" spans="7:8" ht="13.2" x14ac:dyDescent="0.25">
      <c r="G265" s="22"/>
      <c r="H265" s="56"/>
    </row>
    <row r="266" spans="7:8" ht="13.2" x14ac:dyDescent="0.25">
      <c r="G266" s="22"/>
      <c r="H266" s="56"/>
    </row>
    <row r="267" spans="7:8" ht="13.2" x14ac:dyDescent="0.25">
      <c r="G267" s="22"/>
      <c r="H267" s="56"/>
    </row>
    <row r="268" spans="7:8" ht="13.2" x14ac:dyDescent="0.25">
      <c r="G268" s="22"/>
      <c r="H268" s="56"/>
    </row>
    <row r="269" spans="7:8" ht="13.2" x14ac:dyDescent="0.25">
      <c r="G269" s="22"/>
      <c r="H269" s="56"/>
    </row>
    <row r="270" spans="7:8" ht="13.2" x14ac:dyDescent="0.25">
      <c r="G270" s="22"/>
      <c r="H270" s="56"/>
    </row>
    <row r="271" spans="7:8" ht="13.2" x14ac:dyDescent="0.25">
      <c r="G271" s="22"/>
      <c r="H271" s="56"/>
    </row>
    <row r="272" spans="7:8" ht="13.2" x14ac:dyDescent="0.25">
      <c r="G272" s="22"/>
      <c r="H272" s="56"/>
    </row>
    <row r="273" spans="7:8" ht="13.2" x14ac:dyDescent="0.25">
      <c r="G273" s="22"/>
      <c r="H273" s="56"/>
    </row>
    <row r="274" spans="7:8" ht="13.2" x14ac:dyDescent="0.25">
      <c r="G274" s="22"/>
      <c r="H274" s="56"/>
    </row>
    <row r="275" spans="7:8" ht="13.2" x14ac:dyDescent="0.25">
      <c r="G275" s="22"/>
      <c r="H275" s="56"/>
    </row>
    <row r="276" spans="7:8" ht="13.2" x14ac:dyDescent="0.25">
      <c r="G276" s="22"/>
      <c r="H276" s="56"/>
    </row>
    <row r="277" spans="7:8" ht="13.2" x14ac:dyDescent="0.25">
      <c r="G277" s="22"/>
      <c r="H277" s="56"/>
    </row>
    <row r="278" spans="7:8" ht="13.2" x14ac:dyDescent="0.25">
      <c r="G278" s="22"/>
      <c r="H278" s="56"/>
    </row>
    <row r="279" spans="7:8" ht="13.2" x14ac:dyDescent="0.25">
      <c r="G279" s="22"/>
      <c r="H279" s="56"/>
    </row>
    <row r="280" spans="7:8" ht="13.2" x14ac:dyDescent="0.25">
      <c r="G280" s="22"/>
      <c r="H280" s="56"/>
    </row>
    <row r="281" spans="7:8" ht="13.2" x14ac:dyDescent="0.25">
      <c r="G281" s="22"/>
      <c r="H281" s="56"/>
    </row>
    <row r="282" spans="7:8" ht="13.2" x14ac:dyDescent="0.25">
      <c r="G282" s="22"/>
      <c r="H282" s="56"/>
    </row>
    <row r="283" spans="7:8" ht="13.2" x14ac:dyDescent="0.25">
      <c r="G283" s="22"/>
      <c r="H283" s="56"/>
    </row>
    <row r="284" spans="7:8" ht="13.2" x14ac:dyDescent="0.25">
      <c r="G284" s="22"/>
      <c r="H284" s="56"/>
    </row>
    <row r="285" spans="7:8" ht="13.2" x14ac:dyDescent="0.25">
      <c r="G285" s="22"/>
      <c r="H285" s="56"/>
    </row>
    <row r="286" spans="7:8" ht="13.2" x14ac:dyDescent="0.25">
      <c r="G286" s="22"/>
      <c r="H286" s="56"/>
    </row>
    <row r="287" spans="7:8" ht="13.2" x14ac:dyDescent="0.25">
      <c r="G287" s="22"/>
      <c r="H287" s="56"/>
    </row>
    <row r="288" spans="7:8" ht="13.2" x14ac:dyDescent="0.25">
      <c r="G288" s="22"/>
      <c r="H288" s="56"/>
    </row>
    <row r="289" spans="7:8" ht="13.2" x14ac:dyDescent="0.25">
      <c r="G289" s="22"/>
      <c r="H289" s="56"/>
    </row>
    <row r="290" spans="7:8" ht="13.2" x14ac:dyDescent="0.25">
      <c r="G290" s="22"/>
      <c r="H290" s="56"/>
    </row>
    <row r="291" spans="7:8" ht="13.2" x14ac:dyDescent="0.25">
      <c r="G291" s="22"/>
      <c r="H291" s="56"/>
    </row>
    <row r="292" spans="7:8" ht="13.2" x14ac:dyDescent="0.25">
      <c r="G292" s="22"/>
      <c r="H292" s="56"/>
    </row>
    <row r="293" spans="7:8" ht="13.2" x14ac:dyDescent="0.25">
      <c r="G293" s="22"/>
      <c r="H293" s="56"/>
    </row>
    <row r="294" spans="7:8" ht="13.2" x14ac:dyDescent="0.25">
      <c r="G294" s="22"/>
      <c r="H294" s="56"/>
    </row>
    <row r="295" spans="7:8" ht="13.2" x14ac:dyDescent="0.25">
      <c r="G295" s="22"/>
      <c r="H295" s="56"/>
    </row>
    <row r="296" spans="7:8" ht="13.2" x14ac:dyDescent="0.25">
      <c r="G296" s="22"/>
      <c r="H296" s="56"/>
    </row>
    <row r="297" spans="7:8" ht="13.2" x14ac:dyDescent="0.25">
      <c r="G297" s="22"/>
      <c r="H297" s="56"/>
    </row>
    <row r="298" spans="7:8" ht="13.2" x14ac:dyDescent="0.25">
      <c r="G298" s="22"/>
      <c r="H298" s="56"/>
    </row>
    <row r="299" spans="7:8" ht="13.2" x14ac:dyDescent="0.25">
      <c r="G299" s="22"/>
      <c r="H299" s="56"/>
    </row>
    <row r="300" spans="7:8" ht="13.2" x14ac:dyDescent="0.25">
      <c r="G300" s="22"/>
      <c r="H300" s="56"/>
    </row>
    <row r="301" spans="7:8" ht="13.2" x14ac:dyDescent="0.25">
      <c r="G301" s="22"/>
      <c r="H301" s="56"/>
    </row>
    <row r="302" spans="7:8" ht="13.2" x14ac:dyDescent="0.25">
      <c r="G302" s="22"/>
      <c r="H302" s="56"/>
    </row>
    <row r="303" spans="7:8" ht="13.2" x14ac:dyDescent="0.25">
      <c r="G303" s="22"/>
      <c r="H303" s="56"/>
    </row>
    <row r="304" spans="7:8" ht="13.2" x14ac:dyDescent="0.25">
      <c r="G304" s="22"/>
      <c r="H304" s="56"/>
    </row>
    <row r="305" spans="7:8" ht="13.2" x14ac:dyDescent="0.25">
      <c r="G305" s="22"/>
      <c r="H305" s="56"/>
    </row>
    <row r="306" spans="7:8" ht="13.2" x14ac:dyDescent="0.25">
      <c r="G306" s="22"/>
      <c r="H306" s="56"/>
    </row>
    <row r="307" spans="7:8" ht="13.2" x14ac:dyDescent="0.25">
      <c r="G307" s="22"/>
      <c r="H307" s="56"/>
    </row>
    <row r="308" spans="7:8" ht="13.2" x14ac:dyDescent="0.25">
      <c r="G308" s="22"/>
      <c r="H308" s="56"/>
    </row>
    <row r="309" spans="7:8" ht="13.2" x14ac:dyDescent="0.25">
      <c r="G309" s="22"/>
      <c r="H309" s="56"/>
    </row>
    <row r="310" spans="7:8" ht="13.2" x14ac:dyDescent="0.25">
      <c r="G310" s="22"/>
      <c r="H310" s="56"/>
    </row>
    <row r="311" spans="7:8" ht="13.2" x14ac:dyDescent="0.25">
      <c r="G311" s="22"/>
      <c r="H311" s="56"/>
    </row>
    <row r="312" spans="7:8" ht="13.2" x14ac:dyDescent="0.25">
      <c r="G312" s="22"/>
      <c r="H312" s="56"/>
    </row>
    <row r="313" spans="7:8" ht="13.2" x14ac:dyDescent="0.25">
      <c r="G313" s="22"/>
      <c r="H313" s="56"/>
    </row>
    <row r="314" spans="7:8" ht="13.2" x14ac:dyDescent="0.25">
      <c r="G314" s="22"/>
      <c r="H314" s="56"/>
    </row>
    <row r="315" spans="7:8" ht="13.2" x14ac:dyDescent="0.25">
      <c r="G315" s="22"/>
      <c r="H315" s="56"/>
    </row>
    <row r="316" spans="7:8" ht="13.2" x14ac:dyDescent="0.25">
      <c r="G316" s="22"/>
      <c r="H316" s="56"/>
    </row>
    <row r="317" spans="7:8" ht="13.2" x14ac:dyDescent="0.25">
      <c r="G317" s="22"/>
      <c r="H317" s="56"/>
    </row>
    <row r="318" spans="7:8" ht="13.2" x14ac:dyDescent="0.25">
      <c r="G318" s="22"/>
      <c r="H318" s="56"/>
    </row>
    <row r="319" spans="7:8" ht="13.2" x14ac:dyDescent="0.25">
      <c r="G319" s="22"/>
      <c r="H319" s="56"/>
    </row>
    <row r="320" spans="7:8" ht="13.2" x14ac:dyDescent="0.25">
      <c r="G320" s="22"/>
      <c r="H320" s="56"/>
    </row>
    <row r="321" spans="7:8" ht="13.2" x14ac:dyDescent="0.25">
      <c r="G321" s="22"/>
      <c r="H321" s="56"/>
    </row>
    <row r="322" spans="7:8" ht="13.2" x14ac:dyDescent="0.25">
      <c r="G322" s="22"/>
      <c r="H322" s="56"/>
    </row>
    <row r="323" spans="7:8" ht="13.2" x14ac:dyDescent="0.25">
      <c r="G323" s="22"/>
      <c r="H323" s="56"/>
    </row>
    <row r="324" spans="7:8" ht="13.2" x14ac:dyDescent="0.25">
      <c r="G324" s="22"/>
      <c r="H324" s="56"/>
    </row>
    <row r="325" spans="7:8" ht="13.2" x14ac:dyDescent="0.25">
      <c r="G325" s="22"/>
      <c r="H325" s="56"/>
    </row>
    <row r="326" spans="7:8" ht="13.2" x14ac:dyDescent="0.25">
      <c r="G326" s="22"/>
      <c r="H326" s="56"/>
    </row>
    <row r="327" spans="7:8" ht="13.2" x14ac:dyDescent="0.25">
      <c r="G327" s="22"/>
      <c r="H327" s="56"/>
    </row>
    <row r="328" spans="7:8" ht="13.2" x14ac:dyDescent="0.25">
      <c r="G328" s="22"/>
      <c r="H328" s="56"/>
    </row>
    <row r="329" spans="7:8" ht="13.2" x14ac:dyDescent="0.25">
      <c r="G329" s="22"/>
      <c r="H329" s="56"/>
    </row>
    <row r="330" spans="7:8" ht="13.2" x14ac:dyDescent="0.25">
      <c r="G330" s="22"/>
      <c r="H330" s="56"/>
    </row>
    <row r="331" spans="7:8" ht="13.2" x14ac:dyDescent="0.25">
      <c r="G331" s="22"/>
      <c r="H331" s="56"/>
    </row>
    <row r="332" spans="7:8" ht="13.2" x14ac:dyDescent="0.25">
      <c r="G332" s="22"/>
      <c r="H332" s="56"/>
    </row>
    <row r="333" spans="7:8" ht="13.2" x14ac:dyDescent="0.25">
      <c r="G333" s="22"/>
      <c r="H333" s="56"/>
    </row>
    <row r="334" spans="7:8" ht="13.2" x14ac:dyDescent="0.25">
      <c r="G334" s="22"/>
      <c r="H334" s="56"/>
    </row>
    <row r="335" spans="7:8" ht="13.2" x14ac:dyDescent="0.25">
      <c r="G335" s="22"/>
      <c r="H335" s="56"/>
    </row>
    <row r="336" spans="7:8" ht="13.2" x14ac:dyDescent="0.25">
      <c r="G336" s="22"/>
      <c r="H336" s="56"/>
    </row>
    <row r="337" spans="7:8" ht="13.2" x14ac:dyDescent="0.25">
      <c r="G337" s="22"/>
      <c r="H337" s="56"/>
    </row>
    <row r="338" spans="7:8" ht="13.2" x14ac:dyDescent="0.25">
      <c r="G338" s="22"/>
      <c r="H338" s="56"/>
    </row>
    <row r="339" spans="7:8" ht="13.2" x14ac:dyDescent="0.25">
      <c r="G339" s="22"/>
      <c r="H339" s="56"/>
    </row>
    <row r="340" spans="7:8" ht="13.2" x14ac:dyDescent="0.25">
      <c r="G340" s="22"/>
      <c r="H340" s="56"/>
    </row>
    <row r="341" spans="7:8" ht="13.2" x14ac:dyDescent="0.25">
      <c r="G341" s="22"/>
      <c r="H341" s="56"/>
    </row>
    <row r="342" spans="7:8" ht="13.2" x14ac:dyDescent="0.25">
      <c r="G342" s="22"/>
      <c r="H342" s="56"/>
    </row>
    <row r="343" spans="7:8" ht="13.2" x14ac:dyDescent="0.25">
      <c r="G343" s="22"/>
      <c r="H343" s="56"/>
    </row>
    <row r="344" spans="7:8" ht="13.2" x14ac:dyDescent="0.25">
      <c r="G344" s="22"/>
      <c r="H344" s="56"/>
    </row>
    <row r="345" spans="7:8" ht="13.2" x14ac:dyDescent="0.25">
      <c r="G345" s="22"/>
      <c r="H345" s="56"/>
    </row>
    <row r="346" spans="7:8" ht="13.2" x14ac:dyDescent="0.25">
      <c r="G346" s="22"/>
      <c r="H346" s="56"/>
    </row>
    <row r="347" spans="7:8" ht="13.2" x14ac:dyDescent="0.25">
      <c r="G347" s="22"/>
      <c r="H347" s="56"/>
    </row>
    <row r="348" spans="7:8" ht="13.2" x14ac:dyDescent="0.25">
      <c r="G348" s="22"/>
      <c r="H348" s="56"/>
    </row>
    <row r="349" spans="7:8" ht="13.2" x14ac:dyDescent="0.25">
      <c r="G349" s="22"/>
      <c r="H349" s="56"/>
    </row>
    <row r="350" spans="7:8" ht="13.2" x14ac:dyDescent="0.25">
      <c r="G350" s="22"/>
      <c r="H350" s="56"/>
    </row>
    <row r="351" spans="7:8" ht="13.2" x14ac:dyDescent="0.25">
      <c r="G351" s="22"/>
      <c r="H351" s="56"/>
    </row>
    <row r="352" spans="7:8" ht="13.2" x14ac:dyDescent="0.25">
      <c r="G352" s="22"/>
      <c r="H352" s="56"/>
    </row>
    <row r="353" spans="7:8" ht="13.2" x14ac:dyDescent="0.25">
      <c r="G353" s="22"/>
      <c r="H353" s="56"/>
    </row>
    <row r="354" spans="7:8" ht="13.2" x14ac:dyDescent="0.25">
      <c r="G354" s="22"/>
      <c r="H354" s="56"/>
    </row>
    <row r="355" spans="7:8" ht="13.2" x14ac:dyDescent="0.25">
      <c r="G355" s="22"/>
      <c r="H355" s="56"/>
    </row>
    <row r="356" spans="7:8" ht="13.2" x14ac:dyDescent="0.25">
      <c r="G356" s="22"/>
      <c r="H356" s="56"/>
    </row>
    <row r="357" spans="7:8" ht="13.2" x14ac:dyDescent="0.25">
      <c r="G357" s="22"/>
      <c r="H357" s="56"/>
    </row>
    <row r="358" spans="7:8" ht="13.2" x14ac:dyDescent="0.25">
      <c r="G358" s="22"/>
      <c r="H358" s="56"/>
    </row>
    <row r="359" spans="7:8" ht="13.2" x14ac:dyDescent="0.25">
      <c r="G359" s="22"/>
      <c r="H359" s="56"/>
    </row>
    <row r="360" spans="7:8" ht="13.2" x14ac:dyDescent="0.25">
      <c r="G360" s="22"/>
      <c r="H360" s="56"/>
    </row>
    <row r="361" spans="7:8" ht="13.2" x14ac:dyDescent="0.25">
      <c r="G361" s="22"/>
      <c r="H361" s="56"/>
    </row>
    <row r="362" spans="7:8" ht="13.2" x14ac:dyDescent="0.25">
      <c r="G362" s="22"/>
      <c r="H362" s="56"/>
    </row>
    <row r="363" spans="7:8" ht="13.2" x14ac:dyDescent="0.25">
      <c r="G363" s="22"/>
      <c r="H363" s="56"/>
    </row>
    <row r="364" spans="7:8" ht="13.2" x14ac:dyDescent="0.25">
      <c r="G364" s="22"/>
      <c r="H364" s="56"/>
    </row>
    <row r="365" spans="7:8" ht="13.2" x14ac:dyDescent="0.25">
      <c r="G365" s="22"/>
      <c r="H365" s="56"/>
    </row>
    <row r="366" spans="7:8" ht="13.2" x14ac:dyDescent="0.25">
      <c r="G366" s="22"/>
      <c r="H366" s="56"/>
    </row>
    <row r="367" spans="7:8" ht="13.2" x14ac:dyDescent="0.25">
      <c r="G367" s="22"/>
      <c r="H367" s="56"/>
    </row>
    <row r="368" spans="7:8" ht="13.2" x14ac:dyDescent="0.25">
      <c r="G368" s="22"/>
      <c r="H368" s="56"/>
    </row>
    <row r="369" spans="7:8" ht="13.2" x14ac:dyDescent="0.25">
      <c r="G369" s="22"/>
      <c r="H369" s="56"/>
    </row>
    <row r="370" spans="7:8" ht="13.2" x14ac:dyDescent="0.25">
      <c r="G370" s="22"/>
      <c r="H370" s="56"/>
    </row>
    <row r="371" spans="7:8" ht="13.2" x14ac:dyDescent="0.25">
      <c r="G371" s="22"/>
      <c r="H371" s="56"/>
    </row>
    <row r="372" spans="7:8" ht="13.2" x14ac:dyDescent="0.25">
      <c r="G372" s="22"/>
      <c r="H372" s="56"/>
    </row>
    <row r="373" spans="7:8" ht="13.2" x14ac:dyDescent="0.25">
      <c r="G373" s="22"/>
      <c r="H373" s="56"/>
    </row>
    <row r="374" spans="7:8" ht="13.2" x14ac:dyDescent="0.25">
      <c r="G374" s="22"/>
      <c r="H374" s="56"/>
    </row>
    <row r="375" spans="7:8" ht="13.2" x14ac:dyDescent="0.25">
      <c r="G375" s="22"/>
      <c r="H375" s="56"/>
    </row>
    <row r="376" spans="7:8" ht="13.2" x14ac:dyDescent="0.25">
      <c r="G376" s="22"/>
      <c r="H376" s="56"/>
    </row>
    <row r="377" spans="7:8" ht="13.2" x14ac:dyDescent="0.25">
      <c r="G377" s="22"/>
      <c r="H377" s="56"/>
    </row>
    <row r="378" spans="7:8" ht="13.2" x14ac:dyDescent="0.25">
      <c r="G378" s="22"/>
      <c r="H378" s="56"/>
    </row>
    <row r="379" spans="7:8" ht="13.2" x14ac:dyDescent="0.25">
      <c r="G379" s="22"/>
      <c r="H379" s="56"/>
    </row>
    <row r="380" spans="7:8" ht="13.2" x14ac:dyDescent="0.25">
      <c r="G380" s="22"/>
      <c r="H380" s="56"/>
    </row>
    <row r="381" spans="7:8" ht="13.2" x14ac:dyDescent="0.25">
      <c r="G381" s="22"/>
      <c r="H381" s="56"/>
    </row>
    <row r="382" spans="7:8" ht="13.2" x14ac:dyDescent="0.25">
      <c r="G382" s="22"/>
      <c r="H382" s="56"/>
    </row>
    <row r="383" spans="7:8" ht="13.2" x14ac:dyDescent="0.25">
      <c r="G383" s="22"/>
      <c r="H383" s="56"/>
    </row>
    <row r="384" spans="7:8" ht="13.2" x14ac:dyDescent="0.25">
      <c r="G384" s="22"/>
      <c r="H384" s="56"/>
    </row>
    <row r="385" spans="7:8" ht="13.2" x14ac:dyDescent="0.25">
      <c r="G385" s="22"/>
      <c r="H385" s="56"/>
    </row>
    <row r="386" spans="7:8" ht="13.2" x14ac:dyDescent="0.25">
      <c r="G386" s="22"/>
      <c r="H386" s="56"/>
    </row>
    <row r="387" spans="7:8" ht="13.2" x14ac:dyDescent="0.25">
      <c r="G387" s="22"/>
      <c r="H387" s="56"/>
    </row>
    <row r="388" spans="7:8" ht="13.2" x14ac:dyDescent="0.25">
      <c r="G388" s="22"/>
      <c r="H388" s="56"/>
    </row>
    <row r="389" spans="7:8" ht="13.2" x14ac:dyDescent="0.25">
      <c r="G389" s="22"/>
      <c r="H389" s="56"/>
    </row>
    <row r="390" spans="7:8" ht="13.2" x14ac:dyDescent="0.25">
      <c r="G390" s="22"/>
      <c r="H390" s="56"/>
    </row>
    <row r="391" spans="7:8" ht="13.2" x14ac:dyDescent="0.25">
      <c r="G391" s="22"/>
      <c r="H391" s="56"/>
    </row>
    <row r="392" spans="7:8" ht="13.2" x14ac:dyDescent="0.25">
      <c r="G392" s="22"/>
      <c r="H392" s="56"/>
    </row>
    <row r="393" spans="7:8" ht="13.2" x14ac:dyDescent="0.25">
      <c r="G393" s="22"/>
      <c r="H393" s="56"/>
    </row>
    <row r="394" spans="7:8" ht="13.2" x14ac:dyDescent="0.25">
      <c r="G394" s="22"/>
      <c r="H394" s="56"/>
    </row>
    <row r="395" spans="7:8" ht="13.2" x14ac:dyDescent="0.25">
      <c r="G395" s="22"/>
      <c r="H395" s="56"/>
    </row>
    <row r="396" spans="7:8" ht="13.2" x14ac:dyDescent="0.25">
      <c r="G396" s="22"/>
      <c r="H396" s="56"/>
    </row>
    <row r="397" spans="7:8" ht="13.2" x14ac:dyDescent="0.25">
      <c r="G397" s="22"/>
      <c r="H397" s="56"/>
    </row>
    <row r="398" spans="7:8" ht="13.2" x14ac:dyDescent="0.25">
      <c r="G398" s="22"/>
      <c r="H398" s="56"/>
    </row>
    <row r="399" spans="7:8" ht="13.2" x14ac:dyDescent="0.25">
      <c r="G399" s="22"/>
      <c r="H399" s="56"/>
    </row>
    <row r="400" spans="7:8" ht="13.2" x14ac:dyDescent="0.25">
      <c r="G400" s="22"/>
      <c r="H400" s="56"/>
    </row>
    <row r="401" spans="7:8" ht="13.2" x14ac:dyDescent="0.25">
      <c r="G401" s="22"/>
      <c r="H401" s="56"/>
    </row>
    <row r="402" spans="7:8" ht="13.2" x14ac:dyDescent="0.25">
      <c r="G402" s="22"/>
      <c r="H402" s="56"/>
    </row>
    <row r="403" spans="7:8" ht="13.2" x14ac:dyDescent="0.25">
      <c r="G403" s="22"/>
      <c r="H403" s="56"/>
    </row>
    <row r="404" spans="7:8" ht="13.2" x14ac:dyDescent="0.25">
      <c r="G404" s="22"/>
      <c r="H404" s="56"/>
    </row>
    <row r="405" spans="7:8" ht="13.2" x14ac:dyDescent="0.25">
      <c r="G405" s="22"/>
      <c r="H405" s="56"/>
    </row>
    <row r="406" spans="7:8" ht="13.2" x14ac:dyDescent="0.25">
      <c r="G406" s="22"/>
      <c r="H406" s="56"/>
    </row>
    <row r="407" spans="7:8" ht="13.2" x14ac:dyDescent="0.25">
      <c r="G407" s="22"/>
      <c r="H407" s="56"/>
    </row>
    <row r="408" spans="7:8" ht="13.2" x14ac:dyDescent="0.25">
      <c r="G408" s="22"/>
      <c r="H408" s="56"/>
    </row>
    <row r="409" spans="7:8" ht="13.2" x14ac:dyDescent="0.25">
      <c r="G409" s="22"/>
      <c r="H409" s="56"/>
    </row>
    <row r="410" spans="7:8" ht="13.2" x14ac:dyDescent="0.25">
      <c r="G410" s="22"/>
      <c r="H410" s="56"/>
    </row>
    <row r="411" spans="7:8" ht="13.2" x14ac:dyDescent="0.25">
      <c r="G411" s="22"/>
      <c r="H411" s="56"/>
    </row>
    <row r="412" spans="7:8" ht="13.2" x14ac:dyDescent="0.25">
      <c r="G412" s="22"/>
      <c r="H412" s="56"/>
    </row>
    <row r="413" spans="7:8" ht="13.2" x14ac:dyDescent="0.25">
      <c r="G413" s="22"/>
      <c r="H413" s="56"/>
    </row>
    <row r="414" spans="7:8" ht="13.2" x14ac:dyDescent="0.25">
      <c r="G414" s="22"/>
      <c r="H414" s="56"/>
    </row>
    <row r="415" spans="7:8" ht="13.2" x14ac:dyDescent="0.25">
      <c r="G415" s="22"/>
      <c r="H415" s="56"/>
    </row>
    <row r="416" spans="7:8" ht="13.2" x14ac:dyDescent="0.25">
      <c r="G416" s="22"/>
      <c r="H416" s="56"/>
    </row>
    <row r="417" spans="7:8" ht="13.2" x14ac:dyDescent="0.25">
      <c r="G417" s="22"/>
      <c r="H417" s="56"/>
    </row>
    <row r="418" spans="7:8" ht="13.2" x14ac:dyDescent="0.25">
      <c r="G418" s="22"/>
      <c r="H418" s="56"/>
    </row>
    <row r="419" spans="7:8" ht="13.2" x14ac:dyDescent="0.25">
      <c r="G419" s="22"/>
      <c r="H419" s="56"/>
    </row>
    <row r="420" spans="7:8" ht="13.2" x14ac:dyDescent="0.25">
      <c r="G420" s="22"/>
      <c r="H420" s="56"/>
    </row>
    <row r="421" spans="7:8" ht="13.2" x14ac:dyDescent="0.25">
      <c r="G421" s="22"/>
      <c r="H421" s="56"/>
    </row>
    <row r="422" spans="7:8" ht="13.2" x14ac:dyDescent="0.25">
      <c r="G422" s="22"/>
      <c r="H422" s="56"/>
    </row>
    <row r="423" spans="7:8" ht="13.2" x14ac:dyDescent="0.25">
      <c r="G423" s="22"/>
      <c r="H423" s="56"/>
    </row>
    <row r="424" spans="7:8" ht="13.2" x14ac:dyDescent="0.25">
      <c r="G424" s="22"/>
      <c r="H424" s="56"/>
    </row>
    <row r="425" spans="7:8" ht="13.2" x14ac:dyDescent="0.25">
      <c r="G425" s="22"/>
      <c r="H425" s="56"/>
    </row>
    <row r="426" spans="7:8" ht="13.2" x14ac:dyDescent="0.25">
      <c r="G426" s="22"/>
      <c r="H426" s="56"/>
    </row>
    <row r="427" spans="7:8" ht="13.2" x14ac:dyDescent="0.25">
      <c r="G427" s="22"/>
      <c r="H427" s="56"/>
    </row>
    <row r="428" spans="7:8" ht="13.2" x14ac:dyDescent="0.25">
      <c r="G428" s="22"/>
      <c r="H428" s="56"/>
    </row>
    <row r="429" spans="7:8" ht="13.2" x14ac:dyDescent="0.25">
      <c r="G429" s="22"/>
      <c r="H429" s="56"/>
    </row>
    <row r="430" spans="7:8" ht="13.2" x14ac:dyDescent="0.25">
      <c r="G430" s="22"/>
      <c r="H430" s="56"/>
    </row>
    <row r="431" spans="7:8" ht="13.2" x14ac:dyDescent="0.25">
      <c r="G431" s="22"/>
      <c r="H431" s="56"/>
    </row>
    <row r="432" spans="7:8" ht="13.2" x14ac:dyDescent="0.25">
      <c r="G432" s="22"/>
      <c r="H432" s="56"/>
    </row>
    <row r="433" spans="7:8" ht="13.2" x14ac:dyDescent="0.25">
      <c r="G433" s="22"/>
      <c r="H433" s="56"/>
    </row>
    <row r="434" spans="7:8" ht="13.2" x14ac:dyDescent="0.25">
      <c r="G434" s="22"/>
      <c r="H434" s="56"/>
    </row>
    <row r="435" spans="7:8" ht="13.2" x14ac:dyDescent="0.25">
      <c r="G435" s="22"/>
      <c r="H435" s="56"/>
    </row>
    <row r="436" spans="7:8" ht="13.2" x14ac:dyDescent="0.25">
      <c r="G436" s="22"/>
      <c r="H436" s="56"/>
    </row>
    <row r="437" spans="7:8" ht="13.2" x14ac:dyDescent="0.25">
      <c r="G437" s="22"/>
      <c r="H437" s="56"/>
    </row>
    <row r="438" spans="7:8" ht="13.2" x14ac:dyDescent="0.25">
      <c r="G438" s="22"/>
      <c r="H438" s="56"/>
    </row>
    <row r="439" spans="7:8" ht="13.2" x14ac:dyDescent="0.25">
      <c r="G439" s="22"/>
      <c r="H439" s="56"/>
    </row>
    <row r="440" spans="7:8" ht="13.2" x14ac:dyDescent="0.25">
      <c r="G440" s="22"/>
      <c r="H440" s="56"/>
    </row>
    <row r="441" spans="7:8" ht="13.2" x14ac:dyDescent="0.25">
      <c r="G441" s="22"/>
      <c r="H441" s="56"/>
    </row>
    <row r="442" spans="7:8" ht="13.2" x14ac:dyDescent="0.25">
      <c r="G442" s="22"/>
      <c r="H442" s="56"/>
    </row>
    <row r="443" spans="7:8" ht="13.2" x14ac:dyDescent="0.25">
      <c r="G443" s="22"/>
      <c r="H443" s="56"/>
    </row>
    <row r="444" spans="7:8" ht="13.2" x14ac:dyDescent="0.25">
      <c r="G444" s="22"/>
      <c r="H444" s="56"/>
    </row>
    <row r="445" spans="7:8" ht="13.2" x14ac:dyDescent="0.25">
      <c r="G445" s="22"/>
      <c r="H445" s="56"/>
    </row>
    <row r="446" spans="7:8" ht="13.2" x14ac:dyDescent="0.25">
      <c r="G446" s="22"/>
      <c r="H446" s="56"/>
    </row>
    <row r="447" spans="7:8" ht="13.2" x14ac:dyDescent="0.25">
      <c r="G447" s="22"/>
      <c r="H447" s="56"/>
    </row>
    <row r="448" spans="7:8" ht="13.2" x14ac:dyDescent="0.25">
      <c r="G448" s="22"/>
      <c r="H448" s="56"/>
    </row>
    <row r="449" spans="7:8" ht="13.2" x14ac:dyDescent="0.25">
      <c r="G449" s="22"/>
      <c r="H449" s="56"/>
    </row>
    <row r="450" spans="7:8" ht="13.2" x14ac:dyDescent="0.25">
      <c r="G450" s="22"/>
      <c r="H450" s="56"/>
    </row>
    <row r="451" spans="7:8" ht="13.2" x14ac:dyDescent="0.25">
      <c r="G451" s="22"/>
      <c r="H451" s="56"/>
    </row>
    <row r="452" spans="7:8" ht="13.2" x14ac:dyDescent="0.25">
      <c r="G452" s="22"/>
      <c r="H452" s="56"/>
    </row>
    <row r="453" spans="7:8" ht="13.2" x14ac:dyDescent="0.25">
      <c r="G453" s="22"/>
      <c r="H453" s="56"/>
    </row>
    <row r="454" spans="7:8" ht="13.2" x14ac:dyDescent="0.25">
      <c r="G454" s="22"/>
      <c r="H454" s="56"/>
    </row>
    <row r="455" spans="7:8" ht="13.2" x14ac:dyDescent="0.25">
      <c r="G455" s="22"/>
      <c r="H455" s="56"/>
    </row>
    <row r="456" spans="7:8" ht="13.2" x14ac:dyDescent="0.25">
      <c r="G456" s="22"/>
      <c r="H456" s="56"/>
    </row>
    <row r="457" spans="7:8" ht="13.2" x14ac:dyDescent="0.25">
      <c r="G457" s="22"/>
      <c r="H457" s="56"/>
    </row>
    <row r="458" spans="7:8" ht="13.2" x14ac:dyDescent="0.25">
      <c r="G458" s="22"/>
      <c r="H458" s="56"/>
    </row>
    <row r="459" spans="7:8" ht="13.2" x14ac:dyDescent="0.25">
      <c r="G459" s="22"/>
      <c r="H459" s="56"/>
    </row>
    <row r="460" spans="7:8" ht="13.2" x14ac:dyDescent="0.25">
      <c r="G460" s="22"/>
      <c r="H460" s="56"/>
    </row>
    <row r="461" spans="7:8" ht="13.2" x14ac:dyDescent="0.25">
      <c r="G461" s="22"/>
      <c r="H461" s="56"/>
    </row>
    <row r="462" spans="7:8" ht="13.2" x14ac:dyDescent="0.25">
      <c r="G462" s="22"/>
      <c r="H462" s="56"/>
    </row>
    <row r="463" spans="7:8" ht="13.2" x14ac:dyDescent="0.25">
      <c r="G463" s="22"/>
      <c r="H463" s="56"/>
    </row>
    <row r="464" spans="7:8" ht="13.2" x14ac:dyDescent="0.25">
      <c r="G464" s="22"/>
      <c r="H464" s="56"/>
    </row>
    <row r="465" spans="7:8" ht="13.2" x14ac:dyDescent="0.25">
      <c r="G465" s="22"/>
      <c r="H465" s="56"/>
    </row>
    <row r="466" spans="7:8" ht="13.2" x14ac:dyDescent="0.25">
      <c r="G466" s="22"/>
      <c r="H466" s="56"/>
    </row>
    <row r="467" spans="7:8" ht="13.2" x14ac:dyDescent="0.25">
      <c r="G467" s="22"/>
      <c r="H467" s="56"/>
    </row>
    <row r="468" spans="7:8" ht="13.2" x14ac:dyDescent="0.25">
      <c r="G468" s="22"/>
      <c r="H468" s="56"/>
    </row>
    <row r="469" spans="7:8" ht="13.2" x14ac:dyDescent="0.25">
      <c r="G469" s="22"/>
      <c r="H469" s="56"/>
    </row>
    <row r="470" spans="7:8" ht="13.2" x14ac:dyDescent="0.25">
      <c r="G470" s="22"/>
      <c r="H470" s="56"/>
    </row>
    <row r="471" spans="7:8" ht="13.2" x14ac:dyDescent="0.25">
      <c r="G471" s="22"/>
      <c r="H471" s="56"/>
    </row>
    <row r="472" spans="7:8" ht="13.2" x14ac:dyDescent="0.25">
      <c r="G472" s="22"/>
      <c r="H472" s="56"/>
    </row>
    <row r="473" spans="7:8" ht="13.2" x14ac:dyDescent="0.25">
      <c r="G473" s="22"/>
      <c r="H473" s="56"/>
    </row>
    <row r="474" spans="7:8" ht="13.2" x14ac:dyDescent="0.25">
      <c r="G474" s="22"/>
      <c r="H474" s="56"/>
    </row>
    <row r="475" spans="7:8" ht="13.2" x14ac:dyDescent="0.25">
      <c r="G475" s="22"/>
      <c r="H475" s="56"/>
    </row>
    <row r="476" spans="7:8" ht="13.2" x14ac:dyDescent="0.25">
      <c r="G476" s="22"/>
      <c r="H476" s="56"/>
    </row>
    <row r="477" spans="7:8" ht="13.2" x14ac:dyDescent="0.25">
      <c r="G477" s="22"/>
      <c r="H477" s="56"/>
    </row>
    <row r="478" spans="7:8" ht="13.2" x14ac:dyDescent="0.25">
      <c r="G478" s="22"/>
      <c r="H478" s="56"/>
    </row>
    <row r="479" spans="7:8" ht="13.2" x14ac:dyDescent="0.25">
      <c r="G479" s="22"/>
      <c r="H479" s="56"/>
    </row>
    <row r="480" spans="7:8" ht="13.2" x14ac:dyDescent="0.25">
      <c r="G480" s="22"/>
      <c r="H480" s="56"/>
    </row>
    <row r="481" spans="7:8" ht="13.2" x14ac:dyDescent="0.25">
      <c r="G481" s="22"/>
      <c r="H481" s="56"/>
    </row>
    <row r="482" spans="7:8" ht="13.2" x14ac:dyDescent="0.25">
      <c r="G482" s="22"/>
      <c r="H482" s="56"/>
    </row>
    <row r="483" spans="7:8" ht="13.2" x14ac:dyDescent="0.25">
      <c r="G483" s="22"/>
      <c r="H483" s="56"/>
    </row>
    <row r="484" spans="7:8" ht="13.2" x14ac:dyDescent="0.25">
      <c r="G484" s="22"/>
      <c r="H484" s="56"/>
    </row>
    <row r="485" spans="7:8" ht="13.2" x14ac:dyDescent="0.25">
      <c r="G485" s="22"/>
      <c r="H485" s="56"/>
    </row>
    <row r="486" spans="7:8" ht="13.2" x14ac:dyDescent="0.25">
      <c r="G486" s="22"/>
      <c r="H486" s="56"/>
    </row>
    <row r="487" spans="7:8" ht="13.2" x14ac:dyDescent="0.25">
      <c r="G487" s="22"/>
      <c r="H487" s="56"/>
    </row>
    <row r="488" spans="7:8" ht="13.2" x14ac:dyDescent="0.25">
      <c r="G488" s="22"/>
      <c r="H488" s="56"/>
    </row>
    <row r="489" spans="7:8" ht="13.2" x14ac:dyDescent="0.25">
      <c r="G489" s="22"/>
      <c r="H489" s="56"/>
    </row>
    <row r="490" spans="7:8" ht="13.2" x14ac:dyDescent="0.25">
      <c r="G490" s="22"/>
      <c r="H490" s="56"/>
    </row>
    <row r="491" spans="7:8" ht="13.2" x14ac:dyDescent="0.25">
      <c r="G491" s="22"/>
      <c r="H491" s="56"/>
    </row>
    <row r="492" spans="7:8" ht="13.2" x14ac:dyDescent="0.25">
      <c r="G492" s="22"/>
      <c r="H492" s="56"/>
    </row>
    <row r="493" spans="7:8" ht="13.2" x14ac:dyDescent="0.25">
      <c r="G493" s="22"/>
      <c r="H493" s="56"/>
    </row>
    <row r="494" spans="7:8" ht="13.2" x14ac:dyDescent="0.25">
      <c r="G494" s="22"/>
      <c r="H494" s="56"/>
    </row>
    <row r="495" spans="7:8" ht="13.2" x14ac:dyDescent="0.25">
      <c r="G495" s="22"/>
      <c r="H495" s="56"/>
    </row>
    <row r="496" spans="7:8" ht="13.2" x14ac:dyDescent="0.25">
      <c r="G496" s="22"/>
      <c r="H496" s="56"/>
    </row>
    <row r="497" spans="7:8" ht="13.2" x14ac:dyDescent="0.25">
      <c r="G497" s="22"/>
      <c r="H497" s="56"/>
    </row>
    <row r="498" spans="7:8" ht="13.2" x14ac:dyDescent="0.25">
      <c r="G498" s="22"/>
      <c r="H498" s="56"/>
    </row>
    <row r="499" spans="7:8" ht="13.2" x14ac:dyDescent="0.25">
      <c r="G499" s="22"/>
      <c r="H499" s="56"/>
    </row>
    <row r="500" spans="7:8" ht="13.2" x14ac:dyDescent="0.25">
      <c r="G500" s="22"/>
      <c r="H500" s="56"/>
    </row>
    <row r="501" spans="7:8" ht="13.2" x14ac:dyDescent="0.25">
      <c r="G501" s="22"/>
      <c r="H501" s="56"/>
    </row>
    <row r="502" spans="7:8" ht="13.2" x14ac:dyDescent="0.25">
      <c r="G502" s="22"/>
      <c r="H502" s="56"/>
    </row>
    <row r="503" spans="7:8" ht="13.2" x14ac:dyDescent="0.25">
      <c r="G503" s="22"/>
      <c r="H503" s="56"/>
    </row>
    <row r="504" spans="7:8" ht="13.2" x14ac:dyDescent="0.25">
      <c r="G504" s="22"/>
      <c r="H504" s="56"/>
    </row>
    <row r="505" spans="7:8" ht="13.2" x14ac:dyDescent="0.25">
      <c r="G505" s="22"/>
      <c r="H505" s="56"/>
    </row>
    <row r="506" spans="7:8" ht="13.2" x14ac:dyDescent="0.25">
      <c r="G506" s="22"/>
      <c r="H506" s="56"/>
    </row>
    <row r="507" spans="7:8" ht="13.2" x14ac:dyDescent="0.25">
      <c r="G507" s="22"/>
      <c r="H507" s="56"/>
    </row>
    <row r="508" spans="7:8" ht="13.2" x14ac:dyDescent="0.25">
      <c r="G508" s="22"/>
      <c r="H508" s="56"/>
    </row>
    <row r="509" spans="7:8" ht="13.2" x14ac:dyDescent="0.25">
      <c r="G509" s="22"/>
      <c r="H509" s="56"/>
    </row>
    <row r="510" spans="7:8" ht="13.2" x14ac:dyDescent="0.25">
      <c r="G510" s="22"/>
      <c r="H510" s="56"/>
    </row>
    <row r="511" spans="7:8" ht="13.2" x14ac:dyDescent="0.25">
      <c r="G511" s="22"/>
      <c r="H511" s="56"/>
    </row>
    <row r="512" spans="7:8" ht="13.2" x14ac:dyDescent="0.25">
      <c r="G512" s="22"/>
      <c r="H512" s="56"/>
    </row>
    <row r="513" spans="7:8" ht="13.2" x14ac:dyDescent="0.25">
      <c r="G513" s="22"/>
      <c r="H513" s="56"/>
    </row>
    <row r="514" spans="7:8" ht="13.2" x14ac:dyDescent="0.25">
      <c r="G514" s="22"/>
      <c r="H514" s="56"/>
    </row>
    <row r="515" spans="7:8" ht="13.2" x14ac:dyDescent="0.25">
      <c r="G515" s="22"/>
      <c r="H515" s="56"/>
    </row>
    <row r="516" spans="7:8" ht="13.2" x14ac:dyDescent="0.25">
      <c r="G516" s="22"/>
      <c r="H516" s="56"/>
    </row>
    <row r="517" spans="7:8" ht="13.2" x14ac:dyDescent="0.25">
      <c r="G517" s="22"/>
      <c r="H517" s="56"/>
    </row>
    <row r="518" spans="7:8" ht="13.2" x14ac:dyDescent="0.25">
      <c r="G518" s="22"/>
      <c r="H518" s="56"/>
    </row>
    <row r="519" spans="7:8" ht="13.2" x14ac:dyDescent="0.25">
      <c r="G519" s="22"/>
      <c r="H519" s="56"/>
    </row>
    <row r="520" spans="7:8" ht="13.2" x14ac:dyDescent="0.25">
      <c r="G520" s="22"/>
      <c r="H520" s="56"/>
    </row>
    <row r="521" spans="7:8" ht="13.2" x14ac:dyDescent="0.25">
      <c r="G521" s="22"/>
      <c r="H521" s="56"/>
    </row>
    <row r="522" spans="7:8" ht="13.2" x14ac:dyDescent="0.25">
      <c r="G522" s="22"/>
      <c r="H522" s="56"/>
    </row>
    <row r="523" spans="7:8" ht="13.2" x14ac:dyDescent="0.25">
      <c r="G523" s="22"/>
      <c r="H523" s="56"/>
    </row>
    <row r="524" spans="7:8" ht="13.2" x14ac:dyDescent="0.25">
      <c r="G524" s="22"/>
      <c r="H524" s="56"/>
    </row>
    <row r="525" spans="7:8" ht="13.2" x14ac:dyDescent="0.25">
      <c r="G525" s="22"/>
      <c r="H525" s="56"/>
    </row>
    <row r="526" spans="7:8" ht="13.2" x14ac:dyDescent="0.25">
      <c r="G526" s="22"/>
      <c r="H526" s="56"/>
    </row>
    <row r="527" spans="7:8" ht="13.2" x14ac:dyDescent="0.25">
      <c r="G527" s="22"/>
      <c r="H527" s="56"/>
    </row>
    <row r="528" spans="7:8" ht="13.2" x14ac:dyDescent="0.25">
      <c r="G528" s="22"/>
      <c r="H528" s="56"/>
    </row>
    <row r="529" spans="7:8" ht="13.2" x14ac:dyDescent="0.25">
      <c r="G529" s="22"/>
      <c r="H529" s="56"/>
    </row>
    <row r="530" spans="7:8" ht="13.2" x14ac:dyDescent="0.25">
      <c r="G530" s="22"/>
      <c r="H530" s="56"/>
    </row>
    <row r="531" spans="7:8" ht="13.2" x14ac:dyDescent="0.25">
      <c r="G531" s="22"/>
      <c r="H531" s="56"/>
    </row>
    <row r="532" spans="7:8" ht="13.2" x14ac:dyDescent="0.25">
      <c r="G532" s="22"/>
      <c r="H532" s="56"/>
    </row>
    <row r="533" spans="7:8" ht="13.2" x14ac:dyDescent="0.25">
      <c r="G533" s="22"/>
      <c r="H533" s="56"/>
    </row>
    <row r="534" spans="7:8" ht="13.2" x14ac:dyDescent="0.25">
      <c r="G534" s="22"/>
      <c r="H534" s="56"/>
    </row>
    <row r="535" spans="7:8" ht="13.2" x14ac:dyDescent="0.25">
      <c r="G535" s="22"/>
      <c r="H535" s="56"/>
    </row>
    <row r="536" spans="7:8" ht="13.2" x14ac:dyDescent="0.25">
      <c r="G536" s="22"/>
      <c r="H536" s="56"/>
    </row>
    <row r="537" spans="7:8" ht="13.2" x14ac:dyDescent="0.25">
      <c r="G537" s="22"/>
      <c r="H537" s="56"/>
    </row>
    <row r="538" spans="7:8" ht="13.2" x14ac:dyDescent="0.25">
      <c r="G538" s="22"/>
      <c r="H538" s="56"/>
    </row>
    <row r="539" spans="7:8" ht="13.2" x14ac:dyDescent="0.25">
      <c r="G539" s="22"/>
      <c r="H539" s="56"/>
    </row>
    <row r="540" spans="7:8" ht="13.2" x14ac:dyDescent="0.25">
      <c r="G540" s="22"/>
      <c r="H540" s="56"/>
    </row>
    <row r="541" spans="7:8" ht="13.2" x14ac:dyDescent="0.25">
      <c r="G541" s="22"/>
      <c r="H541" s="56"/>
    </row>
    <row r="542" spans="7:8" ht="13.2" x14ac:dyDescent="0.25">
      <c r="G542" s="22"/>
      <c r="H542" s="56"/>
    </row>
    <row r="543" spans="7:8" ht="13.2" x14ac:dyDescent="0.25">
      <c r="G543" s="22"/>
      <c r="H543" s="56"/>
    </row>
    <row r="544" spans="7:8" ht="13.2" x14ac:dyDescent="0.25">
      <c r="G544" s="22"/>
      <c r="H544" s="56"/>
    </row>
    <row r="545" spans="7:8" ht="13.2" x14ac:dyDescent="0.25">
      <c r="G545" s="22"/>
      <c r="H545" s="56"/>
    </row>
    <row r="546" spans="7:8" ht="13.2" x14ac:dyDescent="0.25">
      <c r="G546" s="22"/>
      <c r="H546" s="56"/>
    </row>
    <row r="547" spans="7:8" ht="13.2" x14ac:dyDescent="0.25">
      <c r="G547" s="22"/>
      <c r="H547" s="56"/>
    </row>
    <row r="548" spans="7:8" ht="13.2" x14ac:dyDescent="0.25">
      <c r="G548" s="22"/>
      <c r="H548" s="56"/>
    </row>
    <row r="549" spans="7:8" ht="13.2" x14ac:dyDescent="0.25">
      <c r="G549" s="22"/>
      <c r="H549" s="56"/>
    </row>
    <row r="550" spans="7:8" ht="13.2" x14ac:dyDescent="0.25">
      <c r="G550" s="22"/>
      <c r="H550" s="56"/>
    </row>
    <row r="551" spans="7:8" ht="13.2" x14ac:dyDescent="0.25">
      <c r="G551" s="22"/>
      <c r="H551" s="56"/>
    </row>
    <row r="552" spans="7:8" ht="13.2" x14ac:dyDescent="0.25">
      <c r="G552" s="22"/>
      <c r="H552" s="56"/>
    </row>
    <row r="553" spans="7:8" ht="13.2" x14ac:dyDescent="0.25">
      <c r="G553" s="22"/>
      <c r="H553" s="56"/>
    </row>
    <row r="554" spans="7:8" ht="13.2" x14ac:dyDescent="0.25">
      <c r="G554" s="22"/>
      <c r="H554" s="56"/>
    </row>
    <row r="555" spans="7:8" ht="13.2" x14ac:dyDescent="0.25">
      <c r="G555" s="22"/>
      <c r="H555" s="56"/>
    </row>
    <row r="556" spans="7:8" ht="13.2" x14ac:dyDescent="0.25">
      <c r="G556" s="22"/>
      <c r="H556" s="56"/>
    </row>
    <row r="557" spans="7:8" ht="13.2" x14ac:dyDescent="0.25">
      <c r="G557" s="22"/>
      <c r="H557" s="56"/>
    </row>
    <row r="558" spans="7:8" ht="13.2" x14ac:dyDescent="0.25">
      <c r="G558" s="22"/>
      <c r="H558" s="56"/>
    </row>
    <row r="559" spans="7:8" ht="13.2" x14ac:dyDescent="0.25">
      <c r="G559" s="22"/>
      <c r="H559" s="56"/>
    </row>
    <row r="560" spans="7:8" ht="13.2" x14ac:dyDescent="0.25">
      <c r="G560" s="22"/>
      <c r="H560" s="56"/>
    </row>
    <row r="561" spans="7:8" ht="13.2" x14ac:dyDescent="0.25">
      <c r="G561" s="22"/>
      <c r="H561" s="56"/>
    </row>
    <row r="562" spans="7:8" ht="13.2" x14ac:dyDescent="0.25">
      <c r="G562" s="22"/>
      <c r="H562" s="56"/>
    </row>
    <row r="563" spans="7:8" ht="13.2" x14ac:dyDescent="0.25">
      <c r="G563" s="22"/>
      <c r="H563" s="56"/>
    </row>
    <row r="564" spans="7:8" ht="13.2" x14ac:dyDescent="0.25">
      <c r="G564" s="22"/>
      <c r="H564" s="56"/>
    </row>
    <row r="565" spans="7:8" ht="13.2" x14ac:dyDescent="0.25">
      <c r="G565" s="22"/>
      <c r="H565" s="56"/>
    </row>
    <row r="566" spans="7:8" ht="13.2" x14ac:dyDescent="0.25">
      <c r="G566" s="22"/>
      <c r="H566" s="56"/>
    </row>
    <row r="567" spans="7:8" ht="13.2" x14ac:dyDescent="0.25">
      <c r="G567" s="22"/>
      <c r="H567" s="56"/>
    </row>
    <row r="568" spans="7:8" ht="13.2" x14ac:dyDescent="0.25">
      <c r="G568" s="22"/>
      <c r="H568" s="56"/>
    </row>
    <row r="569" spans="7:8" ht="13.2" x14ac:dyDescent="0.25">
      <c r="G569" s="22"/>
      <c r="H569" s="56"/>
    </row>
    <row r="570" spans="7:8" ht="13.2" x14ac:dyDescent="0.25">
      <c r="G570" s="22"/>
      <c r="H570" s="56"/>
    </row>
    <row r="571" spans="7:8" ht="13.2" x14ac:dyDescent="0.25">
      <c r="G571" s="22"/>
      <c r="H571" s="56"/>
    </row>
    <row r="572" spans="7:8" ht="13.2" x14ac:dyDescent="0.25">
      <c r="G572" s="22"/>
      <c r="H572" s="56"/>
    </row>
    <row r="573" spans="7:8" ht="13.2" x14ac:dyDescent="0.25">
      <c r="G573" s="22"/>
      <c r="H573" s="56"/>
    </row>
    <row r="574" spans="7:8" ht="13.2" x14ac:dyDescent="0.25">
      <c r="G574" s="22"/>
      <c r="H574" s="56"/>
    </row>
    <row r="575" spans="7:8" ht="13.2" x14ac:dyDescent="0.25">
      <c r="G575" s="22"/>
      <c r="H575" s="56"/>
    </row>
    <row r="576" spans="7:8" ht="13.2" x14ac:dyDescent="0.25">
      <c r="G576" s="22"/>
      <c r="H576" s="56"/>
    </row>
    <row r="577" spans="7:8" ht="13.2" x14ac:dyDescent="0.25">
      <c r="G577" s="22"/>
      <c r="H577" s="56"/>
    </row>
    <row r="578" spans="7:8" ht="13.2" x14ac:dyDescent="0.25">
      <c r="G578" s="22"/>
      <c r="H578" s="56"/>
    </row>
    <row r="579" spans="7:8" ht="13.2" x14ac:dyDescent="0.25">
      <c r="G579" s="22"/>
      <c r="H579" s="56"/>
    </row>
    <row r="580" spans="7:8" ht="13.2" x14ac:dyDescent="0.25">
      <c r="G580" s="22"/>
      <c r="H580" s="56"/>
    </row>
    <row r="581" spans="7:8" ht="13.2" x14ac:dyDescent="0.25">
      <c r="G581" s="22"/>
      <c r="H581" s="56"/>
    </row>
    <row r="582" spans="7:8" ht="13.2" x14ac:dyDescent="0.25">
      <c r="G582" s="22"/>
      <c r="H582" s="56"/>
    </row>
    <row r="583" spans="7:8" ht="13.2" x14ac:dyDescent="0.25">
      <c r="G583" s="22"/>
      <c r="H583" s="56"/>
    </row>
    <row r="584" spans="7:8" ht="13.2" x14ac:dyDescent="0.25">
      <c r="G584" s="22"/>
      <c r="H584" s="56"/>
    </row>
    <row r="585" spans="7:8" ht="13.2" x14ac:dyDescent="0.25">
      <c r="G585" s="22"/>
      <c r="H585" s="56"/>
    </row>
    <row r="586" spans="7:8" ht="13.2" x14ac:dyDescent="0.25">
      <c r="G586" s="22"/>
      <c r="H586" s="56"/>
    </row>
    <row r="587" spans="7:8" ht="13.2" x14ac:dyDescent="0.25">
      <c r="G587" s="22"/>
      <c r="H587" s="56"/>
    </row>
    <row r="588" spans="7:8" ht="13.2" x14ac:dyDescent="0.25">
      <c r="G588" s="22"/>
      <c r="H588" s="56"/>
    </row>
    <row r="589" spans="7:8" ht="13.2" x14ac:dyDescent="0.25">
      <c r="G589" s="22"/>
      <c r="H589" s="56"/>
    </row>
    <row r="590" spans="7:8" ht="13.2" x14ac:dyDescent="0.25">
      <c r="G590" s="22"/>
      <c r="H590" s="56"/>
    </row>
    <row r="591" spans="7:8" ht="13.2" x14ac:dyDescent="0.25">
      <c r="G591" s="22"/>
      <c r="H591" s="56"/>
    </row>
    <row r="592" spans="7:8" ht="13.2" x14ac:dyDescent="0.25">
      <c r="G592" s="22"/>
      <c r="H592" s="56"/>
    </row>
    <row r="593" spans="7:8" ht="13.2" x14ac:dyDescent="0.25">
      <c r="G593" s="22"/>
      <c r="H593" s="56"/>
    </row>
    <row r="594" spans="7:8" ht="13.2" x14ac:dyDescent="0.25">
      <c r="G594" s="22"/>
      <c r="H594" s="56"/>
    </row>
    <row r="595" spans="7:8" ht="13.2" x14ac:dyDescent="0.25">
      <c r="G595" s="22"/>
      <c r="H595" s="56"/>
    </row>
    <row r="596" spans="7:8" ht="13.2" x14ac:dyDescent="0.25">
      <c r="G596" s="22"/>
      <c r="H596" s="56"/>
    </row>
    <row r="597" spans="7:8" ht="13.2" x14ac:dyDescent="0.25">
      <c r="G597" s="22"/>
      <c r="H597" s="56"/>
    </row>
    <row r="598" spans="7:8" ht="13.2" x14ac:dyDescent="0.25">
      <c r="G598" s="22"/>
      <c r="H598" s="56"/>
    </row>
    <row r="599" spans="7:8" ht="13.2" x14ac:dyDescent="0.25">
      <c r="G599" s="22"/>
      <c r="H599" s="56"/>
    </row>
    <row r="600" spans="7:8" ht="13.2" x14ac:dyDescent="0.25">
      <c r="G600" s="22"/>
      <c r="H600" s="56"/>
    </row>
    <row r="601" spans="7:8" ht="13.2" x14ac:dyDescent="0.25">
      <c r="G601" s="22"/>
      <c r="H601" s="56"/>
    </row>
    <row r="602" spans="7:8" ht="13.2" x14ac:dyDescent="0.25">
      <c r="G602" s="22"/>
      <c r="H602" s="56"/>
    </row>
    <row r="603" spans="7:8" ht="13.2" x14ac:dyDescent="0.25">
      <c r="G603" s="22"/>
      <c r="H603" s="56"/>
    </row>
    <row r="604" spans="7:8" ht="13.2" x14ac:dyDescent="0.25">
      <c r="G604" s="22"/>
      <c r="H604" s="56"/>
    </row>
    <row r="605" spans="7:8" ht="13.2" x14ac:dyDescent="0.25">
      <c r="G605" s="22"/>
      <c r="H605" s="56"/>
    </row>
    <row r="606" spans="7:8" ht="13.2" x14ac:dyDescent="0.25">
      <c r="G606" s="22"/>
      <c r="H606" s="56"/>
    </row>
    <row r="607" spans="7:8" ht="13.2" x14ac:dyDescent="0.25">
      <c r="G607" s="22"/>
      <c r="H607" s="56"/>
    </row>
    <row r="608" spans="7:8" ht="13.2" x14ac:dyDescent="0.25">
      <c r="G608" s="22"/>
      <c r="H608" s="56"/>
    </row>
    <row r="609" spans="7:8" ht="13.2" x14ac:dyDescent="0.25">
      <c r="G609" s="22"/>
      <c r="H609" s="56"/>
    </row>
    <row r="610" spans="7:8" ht="13.2" x14ac:dyDescent="0.25">
      <c r="G610" s="22"/>
      <c r="H610" s="56"/>
    </row>
    <row r="611" spans="7:8" ht="13.2" x14ac:dyDescent="0.25">
      <c r="G611" s="22"/>
      <c r="H611" s="56"/>
    </row>
    <row r="612" spans="7:8" ht="13.2" x14ac:dyDescent="0.25">
      <c r="G612" s="22"/>
      <c r="H612" s="56"/>
    </row>
    <row r="613" spans="7:8" ht="13.2" x14ac:dyDescent="0.25">
      <c r="G613" s="22"/>
      <c r="H613" s="56"/>
    </row>
    <row r="614" spans="7:8" ht="13.2" x14ac:dyDescent="0.25">
      <c r="G614" s="22"/>
      <c r="H614" s="56"/>
    </row>
    <row r="615" spans="7:8" ht="13.2" x14ac:dyDescent="0.25">
      <c r="G615" s="22"/>
      <c r="H615" s="56"/>
    </row>
    <row r="616" spans="7:8" ht="13.2" x14ac:dyDescent="0.25">
      <c r="G616" s="22"/>
      <c r="H616" s="56"/>
    </row>
    <row r="617" spans="7:8" ht="13.2" x14ac:dyDescent="0.25">
      <c r="G617" s="22"/>
      <c r="H617" s="56"/>
    </row>
    <row r="618" spans="7:8" ht="13.2" x14ac:dyDescent="0.25">
      <c r="G618" s="22"/>
      <c r="H618" s="56"/>
    </row>
    <row r="619" spans="7:8" ht="13.2" x14ac:dyDescent="0.25">
      <c r="G619" s="22"/>
      <c r="H619" s="56"/>
    </row>
    <row r="620" spans="7:8" ht="13.2" x14ac:dyDescent="0.25">
      <c r="G620" s="22"/>
      <c r="H620" s="56"/>
    </row>
    <row r="621" spans="7:8" ht="13.2" x14ac:dyDescent="0.25">
      <c r="G621" s="22"/>
      <c r="H621" s="56"/>
    </row>
    <row r="622" spans="7:8" ht="13.2" x14ac:dyDescent="0.25">
      <c r="G622" s="22"/>
      <c r="H622" s="56"/>
    </row>
    <row r="623" spans="7:8" ht="13.2" x14ac:dyDescent="0.25">
      <c r="G623" s="22"/>
      <c r="H623" s="56"/>
    </row>
    <row r="624" spans="7:8" ht="13.2" x14ac:dyDescent="0.25">
      <c r="G624" s="22"/>
      <c r="H624" s="56"/>
    </row>
    <row r="625" spans="7:8" ht="13.2" x14ac:dyDescent="0.25">
      <c r="G625" s="22"/>
      <c r="H625" s="56"/>
    </row>
    <row r="626" spans="7:8" ht="13.2" x14ac:dyDescent="0.25">
      <c r="G626" s="22"/>
      <c r="H626" s="56"/>
    </row>
    <row r="627" spans="7:8" ht="13.2" x14ac:dyDescent="0.25">
      <c r="G627" s="22"/>
      <c r="H627" s="56"/>
    </row>
    <row r="628" spans="7:8" ht="13.2" x14ac:dyDescent="0.25">
      <c r="G628" s="22"/>
      <c r="H628" s="56"/>
    </row>
    <row r="629" spans="7:8" ht="13.2" x14ac:dyDescent="0.25">
      <c r="G629" s="22"/>
      <c r="H629" s="56"/>
    </row>
    <row r="630" spans="7:8" ht="13.2" x14ac:dyDescent="0.25">
      <c r="G630" s="22"/>
      <c r="H630" s="56"/>
    </row>
    <row r="631" spans="7:8" ht="13.2" x14ac:dyDescent="0.25">
      <c r="G631" s="22"/>
      <c r="H631" s="56"/>
    </row>
    <row r="632" spans="7:8" ht="13.2" x14ac:dyDescent="0.25">
      <c r="G632" s="22"/>
      <c r="H632" s="56"/>
    </row>
    <row r="633" spans="7:8" ht="13.2" x14ac:dyDescent="0.25">
      <c r="G633" s="22"/>
      <c r="H633" s="56"/>
    </row>
    <row r="634" spans="7:8" ht="13.2" x14ac:dyDescent="0.25">
      <c r="G634" s="22"/>
      <c r="H634" s="56"/>
    </row>
    <row r="635" spans="7:8" ht="13.2" x14ac:dyDescent="0.25">
      <c r="G635" s="22"/>
      <c r="H635" s="56"/>
    </row>
    <row r="636" spans="7:8" ht="13.2" x14ac:dyDescent="0.25">
      <c r="G636" s="22"/>
      <c r="H636" s="56"/>
    </row>
    <row r="637" spans="7:8" ht="13.2" x14ac:dyDescent="0.25">
      <c r="G637" s="22"/>
      <c r="H637" s="56"/>
    </row>
    <row r="638" spans="7:8" ht="13.2" x14ac:dyDescent="0.25">
      <c r="G638" s="22"/>
      <c r="H638" s="56"/>
    </row>
    <row r="639" spans="7:8" ht="13.2" x14ac:dyDescent="0.25">
      <c r="G639" s="22"/>
      <c r="H639" s="56"/>
    </row>
    <row r="640" spans="7:8" ht="13.2" x14ac:dyDescent="0.25">
      <c r="G640" s="22"/>
      <c r="H640" s="56"/>
    </row>
    <row r="641" spans="7:8" ht="13.2" x14ac:dyDescent="0.25">
      <c r="G641" s="22"/>
      <c r="H641" s="56"/>
    </row>
    <row r="642" spans="7:8" ht="13.2" x14ac:dyDescent="0.25">
      <c r="G642" s="22"/>
      <c r="H642" s="56"/>
    </row>
    <row r="643" spans="7:8" ht="13.2" x14ac:dyDescent="0.25">
      <c r="G643" s="22"/>
      <c r="H643" s="56"/>
    </row>
    <row r="644" spans="7:8" ht="13.2" x14ac:dyDescent="0.25">
      <c r="G644" s="22"/>
      <c r="H644" s="56"/>
    </row>
    <row r="645" spans="7:8" ht="13.2" x14ac:dyDescent="0.25">
      <c r="G645" s="22"/>
      <c r="H645" s="56"/>
    </row>
    <row r="646" spans="7:8" ht="13.2" x14ac:dyDescent="0.25">
      <c r="G646" s="22"/>
      <c r="H646" s="56"/>
    </row>
    <row r="647" spans="7:8" ht="13.2" x14ac:dyDescent="0.25">
      <c r="G647" s="22"/>
      <c r="H647" s="56"/>
    </row>
    <row r="648" spans="7:8" ht="13.2" x14ac:dyDescent="0.25">
      <c r="G648" s="22"/>
      <c r="H648" s="56"/>
    </row>
    <row r="649" spans="7:8" ht="13.2" x14ac:dyDescent="0.25">
      <c r="G649" s="22"/>
      <c r="H649" s="56"/>
    </row>
    <row r="650" spans="7:8" ht="13.2" x14ac:dyDescent="0.25">
      <c r="G650" s="22"/>
      <c r="H650" s="56"/>
    </row>
    <row r="651" spans="7:8" ht="13.2" x14ac:dyDescent="0.25">
      <c r="G651" s="22"/>
      <c r="H651" s="56"/>
    </row>
    <row r="652" spans="7:8" ht="13.2" x14ac:dyDescent="0.25">
      <c r="G652" s="22"/>
      <c r="H652" s="56"/>
    </row>
    <row r="653" spans="7:8" ht="13.2" x14ac:dyDescent="0.25">
      <c r="G653" s="22"/>
      <c r="H653" s="56"/>
    </row>
    <row r="654" spans="7:8" ht="13.2" x14ac:dyDescent="0.25">
      <c r="G654" s="22"/>
      <c r="H654" s="56"/>
    </row>
    <row r="655" spans="7:8" ht="13.2" x14ac:dyDescent="0.25">
      <c r="G655" s="22"/>
      <c r="H655" s="56"/>
    </row>
    <row r="656" spans="7:8" ht="13.2" x14ac:dyDescent="0.25">
      <c r="G656" s="22"/>
      <c r="H656" s="56"/>
    </row>
    <row r="657" spans="7:8" ht="13.2" x14ac:dyDescent="0.25">
      <c r="G657" s="22"/>
      <c r="H657" s="56"/>
    </row>
    <row r="658" spans="7:8" ht="13.2" x14ac:dyDescent="0.25">
      <c r="G658" s="22"/>
      <c r="H658" s="56"/>
    </row>
    <row r="659" spans="7:8" ht="13.2" x14ac:dyDescent="0.25">
      <c r="G659" s="22"/>
      <c r="H659" s="56"/>
    </row>
    <row r="660" spans="7:8" ht="13.2" x14ac:dyDescent="0.25">
      <c r="G660" s="22"/>
      <c r="H660" s="56"/>
    </row>
    <row r="661" spans="7:8" ht="13.2" x14ac:dyDescent="0.25">
      <c r="G661" s="22"/>
      <c r="H661" s="56"/>
    </row>
    <row r="662" spans="7:8" ht="13.2" x14ac:dyDescent="0.25">
      <c r="G662" s="22"/>
      <c r="H662" s="56"/>
    </row>
    <row r="663" spans="7:8" ht="13.2" x14ac:dyDescent="0.25">
      <c r="G663" s="22"/>
      <c r="H663" s="56"/>
    </row>
    <row r="664" spans="7:8" ht="13.2" x14ac:dyDescent="0.25">
      <c r="G664" s="22"/>
      <c r="H664" s="56"/>
    </row>
    <row r="665" spans="7:8" ht="13.2" x14ac:dyDescent="0.25">
      <c r="G665" s="22"/>
      <c r="H665" s="56"/>
    </row>
    <row r="666" spans="7:8" ht="13.2" x14ac:dyDescent="0.25">
      <c r="G666" s="22"/>
      <c r="H666" s="56"/>
    </row>
    <row r="667" spans="7:8" ht="13.2" x14ac:dyDescent="0.25">
      <c r="G667" s="22"/>
      <c r="H667" s="56"/>
    </row>
    <row r="668" spans="7:8" ht="13.2" x14ac:dyDescent="0.25">
      <c r="G668" s="22"/>
      <c r="H668" s="56"/>
    </row>
    <row r="669" spans="7:8" ht="13.2" x14ac:dyDescent="0.25">
      <c r="G669" s="22"/>
      <c r="H669" s="56"/>
    </row>
    <row r="670" spans="7:8" ht="13.2" x14ac:dyDescent="0.25">
      <c r="G670" s="22"/>
      <c r="H670" s="56"/>
    </row>
    <row r="671" spans="7:8" ht="13.2" x14ac:dyDescent="0.25">
      <c r="G671" s="22"/>
      <c r="H671" s="56"/>
    </row>
    <row r="672" spans="7:8" ht="13.2" x14ac:dyDescent="0.25">
      <c r="G672" s="22"/>
      <c r="H672" s="56"/>
    </row>
    <row r="673" spans="7:8" ht="13.2" x14ac:dyDescent="0.25">
      <c r="G673" s="22"/>
      <c r="H673" s="56"/>
    </row>
    <row r="674" spans="7:8" ht="13.2" x14ac:dyDescent="0.25">
      <c r="G674" s="22"/>
      <c r="H674" s="56"/>
    </row>
    <row r="675" spans="7:8" ht="13.2" x14ac:dyDescent="0.25">
      <c r="G675" s="22"/>
      <c r="H675" s="56"/>
    </row>
    <row r="676" spans="7:8" ht="13.2" x14ac:dyDescent="0.25">
      <c r="G676" s="22"/>
      <c r="H676" s="56"/>
    </row>
    <row r="677" spans="7:8" ht="13.2" x14ac:dyDescent="0.25">
      <c r="G677" s="22"/>
      <c r="H677" s="56"/>
    </row>
    <row r="678" spans="7:8" ht="13.2" x14ac:dyDescent="0.25">
      <c r="G678" s="22"/>
      <c r="H678" s="56"/>
    </row>
    <row r="679" spans="7:8" ht="13.2" x14ac:dyDescent="0.25">
      <c r="G679" s="22"/>
      <c r="H679" s="56"/>
    </row>
    <row r="680" spans="7:8" ht="13.2" x14ac:dyDescent="0.25">
      <c r="G680" s="22"/>
      <c r="H680" s="56"/>
    </row>
    <row r="681" spans="7:8" ht="13.2" x14ac:dyDescent="0.25">
      <c r="G681" s="22"/>
      <c r="H681" s="56"/>
    </row>
    <row r="682" spans="7:8" ht="13.2" x14ac:dyDescent="0.25">
      <c r="G682" s="22"/>
      <c r="H682" s="56"/>
    </row>
    <row r="683" spans="7:8" ht="13.2" x14ac:dyDescent="0.25">
      <c r="G683" s="22"/>
      <c r="H683" s="56"/>
    </row>
    <row r="684" spans="7:8" ht="13.2" x14ac:dyDescent="0.25">
      <c r="G684" s="22"/>
      <c r="H684" s="56"/>
    </row>
    <row r="685" spans="7:8" ht="13.2" x14ac:dyDescent="0.25">
      <c r="G685" s="22"/>
      <c r="H685" s="56"/>
    </row>
    <row r="686" spans="7:8" ht="13.2" x14ac:dyDescent="0.25">
      <c r="G686" s="22"/>
      <c r="H686" s="56"/>
    </row>
    <row r="687" spans="7:8" ht="13.2" x14ac:dyDescent="0.25">
      <c r="G687" s="22"/>
      <c r="H687" s="56"/>
    </row>
    <row r="688" spans="7:8" ht="13.2" x14ac:dyDescent="0.25">
      <c r="G688" s="22"/>
      <c r="H688" s="56"/>
    </row>
    <row r="689" spans="7:8" ht="13.2" x14ac:dyDescent="0.25">
      <c r="G689" s="22"/>
      <c r="H689" s="56"/>
    </row>
    <row r="690" spans="7:8" ht="13.2" x14ac:dyDescent="0.25">
      <c r="G690" s="22"/>
      <c r="H690" s="56"/>
    </row>
    <row r="691" spans="7:8" ht="13.2" x14ac:dyDescent="0.25">
      <c r="G691" s="22"/>
      <c r="H691" s="56"/>
    </row>
    <row r="692" spans="7:8" ht="13.2" x14ac:dyDescent="0.25">
      <c r="G692" s="22"/>
      <c r="H692" s="56"/>
    </row>
    <row r="693" spans="7:8" ht="13.2" x14ac:dyDescent="0.25">
      <c r="G693" s="22"/>
      <c r="H693" s="56"/>
    </row>
    <row r="694" spans="7:8" ht="13.2" x14ac:dyDescent="0.25">
      <c r="G694" s="22"/>
      <c r="H694" s="56"/>
    </row>
    <row r="695" spans="7:8" ht="13.2" x14ac:dyDescent="0.25">
      <c r="G695" s="22"/>
      <c r="H695" s="56"/>
    </row>
    <row r="696" spans="7:8" ht="13.2" x14ac:dyDescent="0.25">
      <c r="G696" s="22"/>
      <c r="H696" s="56"/>
    </row>
    <row r="697" spans="7:8" ht="13.2" x14ac:dyDescent="0.25">
      <c r="G697" s="22"/>
      <c r="H697" s="56"/>
    </row>
    <row r="698" spans="7:8" ht="13.2" x14ac:dyDescent="0.25">
      <c r="G698" s="22"/>
      <c r="H698" s="56"/>
    </row>
    <row r="699" spans="7:8" ht="13.2" x14ac:dyDescent="0.25">
      <c r="G699" s="22"/>
      <c r="H699" s="56"/>
    </row>
    <row r="700" spans="7:8" ht="13.2" x14ac:dyDescent="0.25">
      <c r="G700" s="22"/>
      <c r="H700" s="56"/>
    </row>
    <row r="701" spans="7:8" ht="13.2" x14ac:dyDescent="0.25">
      <c r="G701" s="22"/>
      <c r="H701" s="56"/>
    </row>
    <row r="702" spans="7:8" ht="13.2" x14ac:dyDescent="0.25">
      <c r="G702" s="22"/>
      <c r="H702" s="56"/>
    </row>
    <row r="703" spans="7:8" ht="13.2" x14ac:dyDescent="0.25">
      <c r="G703" s="22"/>
      <c r="H703" s="56"/>
    </row>
    <row r="704" spans="7:8" ht="13.2" x14ac:dyDescent="0.25">
      <c r="G704" s="22"/>
      <c r="H704" s="56"/>
    </row>
    <row r="705" spans="7:8" ht="13.2" x14ac:dyDescent="0.25">
      <c r="G705" s="22"/>
      <c r="H705" s="56"/>
    </row>
    <row r="706" spans="7:8" ht="13.2" x14ac:dyDescent="0.25">
      <c r="G706" s="22"/>
      <c r="H706" s="56"/>
    </row>
    <row r="707" spans="7:8" ht="13.2" x14ac:dyDescent="0.25">
      <c r="G707" s="22"/>
      <c r="H707" s="56"/>
    </row>
    <row r="708" spans="7:8" ht="13.2" x14ac:dyDescent="0.25">
      <c r="G708" s="22"/>
      <c r="H708" s="56"/>
    </row>
    <row r="709" spans="7:8" ht="13.2" x14ac:dyDescent="0.25">
      <c r="G709" s="22"/>
      <c r="H709" s="56"/>
    </row>
    <row r="710" spans="7:8" ht="13.2" x14ac:dyDescent="0.25">
      <c r="G710" s="22"/>
      <c r="H710" s="56"/>
    </row>
    <row r="711" spans="7:8" ht="13.2" x14ac:dyDescent="0.25">
      <c r="G711" s="22"/>
      <c r="H711" s="56"/>
    </row>
    <row r="712" spans="7:8" ht="13.2" x14ac:dyDescent="0.25">
      <c r="G712" s="22"/>
      <c r="H712" s="56"/>
    </row>
    <row r="713" spans="7:8" ht="13.2" x14ac:dyDescent="0.25">
      <c r="G713" s="22"/>
      <c r="H713" s="56"/>
    </row>
    <row r="714" spans="7:8" ht="13.2" x14ac:dyDescent="0.25">
      <c r="G714" s="22"/>
      <c r="H714" s="56"/>
    </row>
    <row r="715" spans="7:8" ht="13.2" x14ac:dyDescent="0.25">
      <c r="G715" s="22"/>
      <c r="H715" s="56"/>
    </row>
    <row r="716" spans="7:8" ht="13.2" x14ac:dyDescent="0.25">
      <c r="G716" s="22"/>
      <c r="H716" s="56"/>
    </row>
    <row r="717" spans="7:8" ht="13.2" x14ac:dyDescent="0.25">
      <c r="G717" s="22"/>
      <c r="H717" s="56"/>
    </row>
    <row r="718" spans="7:8" ht="13.2" x14ac:dyDescent="0.25">
      <c r="G718" s="22"/>
      <c r="H718" s="56"/>
    </row>
    <row r="719" spans="7:8" ht="13.2" x14ac:dyDescent="0.25">
      <c r="G719" s="22"/>
      <c r="H719" s="56"/>
    </row>
    <row r="720" spans="7:8" ht="13.2" x14ac:dyDescent="0.25">
      <c r="G720" s="22"/>
      <c r="H720" s="56"/>
    </row>
    <row r="721" spans="7:8" ht="13.2" x14ac:dyDescent="0.25">
      <c r="G721" s="22"/>
      <c r="H721" s="56"/>
    </row>
    <row r="722" spans="7:8" ht="13.2" x14ac:dyDescent="0.25">
      <c r="G722" s="22"/>
      <c r="H722" s="56"/>
    </row>
    <row r="723" spans="7:8" ht="13.2" x14ac:dyDescent="0.25">
      <c r="G723" s="22"/>
      <c r="H723" s="56"/>
    </row>
    <row r="724" spans="7:8" ht="13.2" x14ac:dyDescent="0.25">
      <c r="G724" s="22"/>
      <c r="H724" s="56"/>
    </row>
    <row r="725" spans="7:8" ht="13.2" x14ac:dyDescent="0.25">
      <c r="G725" s="22"/>
      <c r="H725" s="56"/>
    </row>
    <row r="726" spans="7:8" ht="13.2" x14ac:dyDescent="0.25">
      <c r="G726" s="22"/>
      <c r="H726" s="56"/>
    </row>
    <row r="727" spans="7:8" ht="13.2" x14ac:dyDescent="0.25">
      <c r="G727" s="22"/>
      <c r="H727" s="56"/>
    </row>
    <row r="728" spans="7:8" ht="13.2" x14ac:dyDescent="0.25">
      <c r="G728" s="22"/>
      <c r="H728" s="56"/>
    </row>
    <row r="729" spans="7:8" ht="13.2" x14ac:dyDescent="0.25">
      <c r="G729" s="22"/>
      <c r="H729" s="56"/>
    </row>
    <row r="730" spans="7:8" ht="13.2" x14ac:dyDescent="0.25">
      <c r="G730" s="22"/>
      <c r="H730" s="56"/>
    </row>
    <row r="731" spans="7:8" ht="13.2" x14ac:dyDescent="0.25">
      <c r="G731" s="22"/>
      <c r="H731" s="56"/>
    </row>
    <row r="732" spans="7:8" ht="13.2" x14ac:dyDescent="0.25">
      <c r="G732" s="22"/>
      <c r="H732" s="56"/>
    </row>
    <row r="733" spans="7:8" ht="13.2" x14ac:dyDescent="0.25">
      <c r="G733" s="22"/>
      <c r="H733" s="56"/>
    </row>
    <row r="734" spans="7:8" ht="13.2" x14ac:dyDescent="0.25">
      <c r="G734" s="22"/>
      <c r="H734" s="56"/>
    </row>
    <row r="735" spans="7:8" ht="13.2" x14ac:dyDescent="0.25">
      <c r="G735" s="22"/>
      <c r="H735" s="56"/>
    </row>
    <row r="736" spans="7:8" ht="13.2" x14ac:dyDescent="0.25">
      <c r="G736" s="22"/>
      <c r="H736" s="56"/>
    </row>
    <row r="737" spans="7:8" ht="13.2" x14ac:dyDescent="0.25">
      <c r="G737" s="22"/>
      <c r="H737" s="56"/>
    </row>
    <row r="738" spans="7:8" ht="13.2" x14ac:dyDescent="0.25">
      <c r="G738" s="22"/>
      <c r="H738" s="56"/>
    </row>
    <row r="739" spans="7:8" ht="13.2" x14ac:dyDescent="0.25">
      <c r="G739" s="22"/>
      <c r="H739" s="56"/>
    </row>
    <row r="740" spans="7:8" ht="13.2" x14ac:dyDescent="0.25">
      <c r="G740" s="22"/>
      <c r="H740" s="56"/>
    </row>
    <row r="741" spans="7:8" ht="13.2" x14ac:dyDescent="0.25">
      <c r="G741" s="22"/>
      <c r="H741" s="56"/>
    </row>
    <row r="742" spans="7:8" ht="13.2" x14ac:dyDescent="0.25">
      <c r="G742" s="22"/>
      <c r="H742" s="56"/>
    </row>
    <row r="743" spans="7:8" ht="13.2" x14ac:dyDescent="0.25">
      <c r="G743" s="22"/>
      <c r="H743" s="56"/>
    </row>
    <row r="744" spans="7:8" ht="13.2" x14ac:dyDescent="0.25">
      <c r="G744" s="22"/>
      <c r="H744" s="56"/>
    </row>
    <row r="745" spans="7:8" ht="13.2" x14ac:dyDescent="0.25">
      <c r="G745" s="22"/>
      <c r="H745" s="56"/>
    </row>
    <row r="746" spans="7:8" ht="13.2" x14ac:dyDescent="0.25">
      <c r="G746" s="22"/>
      <c r="H746" s="56"/>
    </row>
    <row r="747" spans="7:8" ht="13.2" x14ac:dyDescent="0.25">
      <c r="G747" s="22"/>
      <c r="H747" s="56"/>
    </row>
    <row r="748" spans="7:8" ht="13.2" x14ac:dyDescent="0.25">
      <c r="G748" s="22"/>
      <c r="H748" s="56"/>
    </row>
    <row r="749" spans="7:8" ht="13.2" x14ac:dyDescent="0.25">
      <c r="G749" s="22"/>
      <c r="H749" s="56"/>
    </row>
    <row r="750" spans="7:8" ht="13.2" x14ac:dyDescent="0.25">
      <c r="G750" s="22"/>
      <c r="H750" s="56"/>
    </row>
    <row r="751" spans="7:8" ht="13.2" x14ac:dyDescent="0.25">
      <c r="G751" s="22"/>
      <c r="H751" s="56"/>
    </row>
    <row r="752" spans="7:8" ht="13.2" x14ac:dyDescent="0.25">
      <c r="G752" s="22"/>
      <c r="H752" s="56"/>
    </row>
    <row r="753" spans="7:8" ht="13.2" x14ac:dyDescent="0.25">
      <c r="G753" s="22"/>
      <c r="H753" s="56"/>
    </row>
    <row r="754" spans="7:8" ht="13.2" x14ac:dyDescent="0.25">
      <c r="G754" s="22"/>
      <c r="H754" s="56"/>
    </row>
    <row r="755" spans="7:8" ht="13.2" x14ac:dyDescent="0.25">
      <c r="G755" s="22"/>
      <c r="H755" s="56"/>
    </row>
    <row r="756" spans="7:8" ht="13.2" x14ac:dyDescent="0.25">
      <c r="G756" s="22"/>
      <c r="H756" s="56"/>
    </row>
    <row r="757" spans="7:8" ht="13.2" x14ac:dyDescent="0.25">
      <c r="G757" s="22"/>
      <c r="H757" s="56"/>
    </row>
    <row r="758" spans="7:8" ht="13.2" x14ac:dyDescent="0.25">
      <c r="G758" s="22"/>
      <c r="H758" s="56"/>
    </row>
  </sheetData>
  <mergeCells count="18">
    <mergeCell ref="B4:E4"/>
    <mergeCell ref="B9:C9"/>
    <mergeCell ref="D9:F9"/>
    <mergeCell ref="B11:E11"/>
    <mergeCell ref="B16:C16"/>
    <mergeCell ref="D16:F16"/>
    <mergeCell ref="B18:E18"/>
    <mergeCell ref="B23:C23"/>
    <mergeCell ref="D23:F23"/>
    <mergeCell ref="B25:E25"/>
    <mergeCell ref="B30:C30"/>
    <mergeCell ref="D30:F30"/>
    <mergeCell ref="B32:E32"/>
    <mergeCell ref="D37:F37"/>
    <mergeCell ref="B37:C37"/>
    <mergeCell ref="B39:E39"/>
    <mergeCell ref="B44:C44"/>
    <mergeCell ref="D44:F44"/>
  </mergeCells>
  <dataValidations count="2">
    <dataValidation type="custom" allowBlank="1" showDropDown="1" showInputMessage="1" showErrorMessage="1" prompt="Ide 2006-2010 (2011) közötti évszámok írható be!" sqref="D5:E8 D9 G9 D12:E15 D16 G16 D19:E22 D23 G23 D26:E29 D30 G30 D33:E36 D37 G37 D40:E43 D44 G44" xr:uid="{00000000-0002-0000-0500-000000000000}">
      <formula1>OR(D5 = "2006", D5="2007",  D5="2008", D5="2009", D5="2010", D5="2011")</formula1>
    </dataValidation>
    <dataValidation type="custom" allowBlank="1" showDropDown="1" showInputMessage="1" showErrorMessage="1" prompt="Ide csak időeredmény (pl: 4:33,9) vagy DNS, DNF, DQ jelzések lehetnek!" sqref="F4:F8 F10:F15 F17:F22 F24:F29 F31:F36 F38:F43 F45" xr:uid="{00000000-0002-0000-0500-000001000000}">
      <formula1>REGEXMATCH(F4,"^\d{1,2}:\d\d,\d{1,2}$|^DNS$|^DNF$|^DQ$")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C4587"/>
    <outlinePr summaryBelow="0" summaryRight="0"/>
  </sheetPr>
  <dimension ref="A1:H912"/>
  <sheetViews>
    <sheetView workbookViewId="0">
      <pane ySplit="3" topLeftCell="A10" activePane="bottomLeft" state="frozen"/>
      <selection pane="bottomLeft" activeCell="K106" sqref="K106"/>
    </sheetView>
  </sheetViews>
  <sheetFormatPr defaultColWidth="12.6640625" defaultRowHeight="15.75" customHeight="1" x14ac:dyDescent="0.25"/>
  <cols>
    <col min="1" max="1" width="4.6640625" customWidth="1"/>
    <col min="2" max="2" width="4.109375" customWidth="1"/>
    <col min="3" max="3" width="25.44140625" customWidth="1"/>
    <col min="4" max="4" width="6.109375" customWidth="1"/>
    <col min="5" max="5" width="15.88671875" customWidth="1"/>
    <col min="6" max="6" width="10.21875" customWidth="1"/>
    <col min="7" max="7" width="8.21875" customWidth="1"/>
    <col min="8" max="8" width="12.6640625" hidden="1"/>
  </cols>
  <sheetData>
    <row r="1" spans="1:8" ht="25.8" x14ac:dyDescent="0.8">
      <c r="A1" s="1" t="s">
        <v>416</v>
      </c>
      <c r="B1" s="2"/>
      <c r="C1" s="3"/>
      <c r="D1" s="4"/>
      <c r="E1" s="4"/>
      <c r="F1" s="47"/>
      <c r="G1" s="47"/>
      <c r="H1" s="56"/>
    </row>
    <row r="2" spans="1:8" ht="16.2" x14ac:dyDescent="0.5">
      <c r="A2" s="9" t="s">
        <v>1</v>
      </c>
      <c r="B2" s="9" t="s">
        <v>2</v>
      </c>
      <c r="C2" s="11"/>
      <c r="D2" s="12" t="s">
        <v>379</v>
      </c>
      <c r="E2" s="12"/>
      <c r="F2" s="14" t="s">
        <v>380</v>
      </c>
      <c r="G2" s="15" t="s">
        <v>7</v>
      </c>
      <c r="H2" s="56"/>
    </row>
    <row r="3" spans="1:8" ht="13.2" x14ac:dyDescent="0.25">
      <c r="A3" s="17"/>
      <c r="B3" s="17"/>
      <c r="D3" s="18"/>
      <c r="E3" s="18"/>
      <c r="F3" s="21"/>
      <c r="G3" s="22"/>
      <c r="H3" s="56"/>
    </row>
    <row r="4" spans="1:8" ht="15.6" x14ac:dyDescent="0.25">
      <c r="A4" s="23">
        <v>1</v>
      </c>
      <c r="B4" s="72" t="s">
        <v>417</v>
      </c>
      <c r="C4" s="73"/>
      <c r="D4" s="73"/>
      <c r="E4" s="74"/>
      <c r="F4" s="57" t="s">
        <v>418</v>
      </c>
      <c r="G4" s="26">
        <f ca="1">IF($H4=2000,,RANK(H4,$H$4:$H$112,TRUE))</f>
        <v>1</v>
      </c>
      <c r="H4" s="58">
        <f ca="1">IFERROR(__xludf.DUMMYFUNCTION("IF(REGEXMATCH(F4,""^\d{1,2}:\d\d,\d{1,2}""),VALUE(LEFT($F4,SEARCH("":"",F4)-1))*60+VALUE(MID($F4,SEARCH("":"",F4)+1,LEN($F4))),2000)"),131.4)</f>
        <v>131.4</v>
      </c>
    </row>
    <row r="5" spans="1:8" ht="18" customHeight="1" x14ac:dyDescent="0.25">
      <c r="A5" s="17"/>
      <c r="B5" s="28">
        <v>1</v>
      </c>
      <c r="C5" s="29" t="s">
        <v>419</v>
      </c>
      <c r="D5" s="44" t="s">
        <v>18</v>
      </c>
      <c r="E5" s="18"/>
      <c r="F5" s="21"/>
      <c r="G5" s="22"/>
      <c r="H5" s="56"/>
    </row>
    <row r="6" spans="1:8" ht="18" customHeight="1" x14ac:dyDescent="0.25">
      <c r="A6" s="17"/>
      <c r="B6" s="28">
        <v>2</v>
      </c>
      <c r="C6" s="29" t="s">
        <v>420</v>
      </c>
      <c r="D6" s="44" t="s">
        <v>32</v>
      </c>
      <c r="E6" s="18"/>
      <c r="F6" s="21"/>
      <c r="G6" s="22"/>
      <c r="H6" s="56"/>
    </row>
    <row r="7" spans="1:8" ht="18" customHeight="1" x14ac:dyDescent="0.25">
      <c r="A7" s="17"/>
      <c r="B7" s="28">
        <v>3</v>
      </c>
      <c r="C7" s="29" t="s">
        <v>421</v>
      </c>
      <c r="D7" s="44" t="s">
        <v>10</v>
      </c>
      <c r="E7" s="18"/>
      <c r="F7" s="21"/>
      <c r="G7" s="22"/>
      <c r="H7" s="56"/>
    </row>
    <row r="8" spans="1:8" ht="18" customHeight="1" x14ac:dyDescent="0.25">
      <c r="A8" s="17"/>
      <c r="B8" s="59">
        <v>4</v>
      </c>
      <c r="C8" s="29" t="s">
        <v>422</v>
      </c>
      <c r="D8" s="60" t="s">
        <v>18</v>
      </c>
      <c r="E8" s="18"/>
      <c r="F8" s="21"/>
      <c r="G8" s="22"/>
      <c r="H8" s="56"/>
    </row>
    <row r="9" spans="1:8" ht="18" customHeight="1" x14ac:dyDescent="0.25">
      <c r="A9" s="17"/>
      <c r="B9" s="76" t="s">
        <v>423</v>
      </c>
      <c r="C9" s="74"/>
      <c r="D9" s="75"/>
      <c r="E9" s="73"/>
      <c r="F9" s="74"/>
      <c r="G9" s="18"/>
      <c r="H9" s="56"/>
    </row>
    <row r="10" spans="1:8" ht="13.2" x14ac:dyDescent="0.25">
      <c r="F10" s="61"/>
      <c r="G10" s="22"/>
      <c r="H10" s="56"/>
    </row>
    <row r="11" spans="1:8" ht="15.6" x14ac:dyDescent="0.25">
      <c r="A11" s="23">
        <v>2</v>
      </c>
      <c r="B11" s="72" t="s">
        <v>424</v>
      </c>
      <c r="C11" s="73"/>
      <c r="D11" s="73"/>
      <c r="E11" s="74"/>
      <c r="F11" s="57" t="s">
        <v>425</v>
      </c>
      <c r="G11" s="26">
        <f ca="1">IF($H11=2000,,RANK(H11,$H$4:$H$112,TRUE))</f>
        <v>2</v>
      </c>
      <c r="H11" s="58">
        <f ca="1">IFERROR(__xludf.DUMMYFUNCTION("IF(REGEXMATCH(F11,""^\d{1,2}:\d\d,\d{1,2}""),VALUE(LEFT($F11,SEARCH("":"",F11)-1))*60+VALUE(MID($F11,SEARCH("":"",F11)+1,LEN($F11))),2000)"),131.6)</f>
        <v>131.6</v>
      </c>
    </row>
    <row r="12" spans="1:8" ht="13.2" x14ac:dyDescent="0.25">
      <c r="A12" s="17"/>
      <c r="B12" s="28">
        <v>1</v>
      </c>
      <c r="C12" s="29" t="s">
        <v>426</v>
      </c>
      <c r="D12" s="44" t="s">
        <v>10</v>
      </c>
      <c r="E12" s="18"/>
      <c r="F12" s="21"/>
      <c r="G12" s="22"/>
      <c r="H12" s="56"/>
    </row>
    <row r="13" spans="1:8" ht="13.2" x14ac:dyDescent="0.25">
      <c r="A13" s="17"/>
      <c r="B13" s="28">
        <v>2</v>
      </c>
      <c r="C13" s="29" t="s">
        <v>427</v>
      </c>
      <c r="D13" s="44" t="s">
        <v>10</v>
      </c>
      <c r="E13" s="18"/>
      <c r="F13" s="21"/>
      <c r="G13" s="22"/>
      <c r="H13" s="56"/>
    </row>
    <row r="14" spans="1:8" ht="13.2" x14ac:dyDescent="0.25">
      <c r="A14" s="17"/>
      <c r="B14" s="28">
        <v>3</v>
      </c>
      <c r="C14" s="29" t="s">
        <v>428</v>
      </c>
      <c r="D14" s="44" t="s">
        <v>10</v>
      </c>
      <c r="E14" s="18"/>
      <c r="F14" s="21"/>
      <c r="G14" s="22"/>
      <c r="H14" s="56"/>
    </row>
    <row r="15" spans="1:8" ht="13.2" x14ac:dyDescent="0.25">
      <c r="A15" s="17"/>
      <c r="B15" s="59">
        <v>4</v>
      </c>
      <c r="C15" s="29" t="s">
        <v>36</v>
      </c>
      <c r="D15" s="44" t="s">
        <v>10</v>
      </c>
      <c r="E15" s="18"/>
      <c r="F15" s="21"/>
      <c r="G15" s="22"/>
      <c r="H15" s="56"/>
    </row>
    <row r="16" spans="1:8" ht="13.2" x14ac:dyDescent="0.25">
      <c r="A16" s="17"/>
      <c r="B16" s="76" t="s">
        <v>403</v>
      </c>
      <c r="C16" s="74"/>
      <c r="D16" s="75"/>
      <c r="E16" s="73"/>
      <c r="F16" s="74"/>
      <c r="G16" s="18"/>
      <c r="H16" s="56"/>
    </row>
    <row r="17" spans="1:8" ht="13.2" x14ac:dyDescent="0.25">
      <c r="F17" s="61"/>
      <c r="G17" s="22"/>
      <c r="H17" s="56"/>
    </row>
    <row r="18" spans="1:8" ht="15.6" x14ac:dyDescent="0.25">
      <c r="A18" s="23">
        <v>3</v>
      </c>
      <c r="B18" s="72" t="s">
        <v>429</v>
      </c>
      <c r="C18" s="73"/>
      <c r="D18" s="73"/>
      <c r="E18" s="74"/>
      <c r="F18" s="57" t="s">
        <v>430</v>
      </c>
      <c r="G18" s="26">
        <f ca="1">IF($H18=2000,,RANK(H18,$H$4:$H$112,TRUE))</f>
        <v>3</v>
      </c>
      <c r="H18" s="58">
        <f ca="1">IFERROR(__xludf.DUMMYFUNCTION("IF(REGEXMATCH(F18,""^\d{1,2}:\d\d,\d{1,2}""),VALUE(LEFT($F18,SEARCH("":"",F18)-1))*60+VALUE(MID($F18,SEARCH("":"",F18)+1,LEN($F18))),2000)"),132.7)</f>
        <v>132.69999999999999</v>
      </c>
    </row>
    <row r="19" spans="1:8" ht="13.2" x14ac:dyDescent="0.25">
      <c r="A19" s="17"/>
      <c r="B19" s="28">
        <v>1</v>
      </c>
      <c r="C19" s="29" t="s">
        <v>431</v>
      </c>
      <c r="D19" s="44" t="s">
        <v>18</v>
      </c>
      <c r="E19" s="18"/>
      <c r="F19" s="21"/>
      <c r="G19" s="22"/>
      <c r="H19" s="56"/>
    </row>
    <row r="20" spans="1:8" ht="13.2" x14ac:dyDescent="0.25">
      <c r="A20" s="17"/>
      <c r="B20" s="28">
        <v>2</v>
      </c>
      <c r="C20" s="29" t="s">
        <v>432</v>
      </c>
      <c r="D20" s="44" t="s">
        <v>10</v>
      </c>
      <c r="E20" s="18"/>
      <c r="F20" s="21"/>
      <c r="G20" s="22"/>
      <c r="H20" s="56"/>
    </row>
    <row r="21" spans="1:8" ht="13.2" x14ac:dyDescent="0.25">
      <c r="A21" s="17"/>
      <c r="B21" s="28">
        <v>3</v>
      </c>
      <c r="C21" s="29" t="s">
        <v>433</v>
      </c>
      <c r="D21" s="44" t="s">
        <v>32</v>
      </c>
      <c r="E21" s="18"/>
      <c r="F21" s="21"/>
      <c r="G21" s="22"/>
      <c r="H21" s="56"/>
    </row>
    <row r="22" spans="1:8" ht="13.2" x14ac:dyDescent="0.25">
      <c r="A22" s="17"/>
      <c r="B22" s="59">
        <v>4</v>
      </c>
      <c r="C22" s="29" t="s">
        <v>434</v>
      </c>
      <c r="D22" s="44" t="s">
        <v>18</v>
      </c>
      <c r="E22" s="18"/>
      <c r="F22" s="21"/>
      <c r="G22" s="22"/>
      <c r="H22" s="56"/>
    </row>
    <row r="23" spans="1:8" ht="13.2" x14ac:dyDescent="0.25">
      <c r="A23" s="17"/>
      <c r="B23" s="76" t="s">
        <v>435</v>
      </c>
      <c r="C23" s="74"/>
      <c r="D23" s="75"/>
      <c r="E23" s="73"/>
      <c r="F23" s="74"/>
      <c r="G23" s="18"/>
      <c r="H23" s="56"/>
    </row>
    <row r="24" spans="1:8" ht="13.2" x14ac:dyDescent="0.25">
      <c r="F24" s="61"/>
      <c r="G24" s="22"/>
      <c r="H24" s="56"/>
    </row>
    <row r="25" spans="1:8" ht="15.6" x14ac:dyDescent="0.25">
      <c r="A25" s="23">
        <v>4</v>
      </c>
      <c r="B25" s="72" t="s">
        <v>90</v>
      </c>
      <c r="C25" s="73"/>
      <c r="D25" s="73"/>
      <c r="E25" s="74"/>
      <c r="F25" s="57" t="s">
        <v>436</v>
      </c>
      <c r="G25" s="26">
        <f ca="1">IF($H25=2000,,RANK(H25,$H$4:$H$112,TRUE))</f>
        <v>4</v>
      </c>
      <c r="H25" s="58">
        <f ca="1">IFERROR(__xludf.DUMMYFUNCTION("IF(REGEXMATCH(F25,""^\d{1,2}:\d\d,\d{1,2}""),VALUE(LEFT($F25,SEARCH("":"",F25)-1))*60+VALUE(MID($F25,SEARCH("":"",F25)+1,LEN($F25))),2000)"),133.3)</f>
        <v>133.30000000000001</v>
      </c>
    </row>
    <row r="26" spans="1:8" ht="13.2" x14ac:dyDescent="0.25">
      <c r="A26" s="17"/>
      <c r="B26" s="28">
        <v>1</v>
      </c>
      <c r="C26" s="29" t="s">
        <v>91</v>
      </c>
      <c r="D26" s="44" t="s">
        <v>26</v>
      </c>
      <c r="E26" s="18"/>
      <c r="F26" s="21"/>
      <c r="G26" s="22"/>
      <c r="H26" s="56"/>
    </row>
    <row r="27" spans="1:8" ht="13.2" x14ac:dyDescent="0.25">
      <c r="A27" s="17"/>
      <c r="B27" s="28">
        <v>2</v>
      </c>
      <c r="C27" s="29" t="s">
        <v>95</v>
      </c>
      <c r="D27" s="44" t="s">
        <v>26</v>
      </c>
      <c r="E27" s="18"/>
      <c r="F27" s="21"/>
      <c r="G27" s="22"/>
      <c r="H27" s="56"/>
    </row>
    <row r="28" spans="1:8" ht="13.2" x14ac:dyDescent="0.25">
      <c r="A28" s="17"/>
      <c r="B28" s="28">
        <v>3</v>
      </c>
      <c r="C28" s="29" t="s">
        <v>99</v>
      </c>
      <c r="D28" s="44" t="s">
        <v>10</v>
      </c>
      <c r="E28" s="18"/>
      <c r="F28" s="21"/>
      <c r="G28" s="22"/>
      <c r="H28" s="56"/>
    </row>
    <row r="29" spans="1:8" ht="13.2" x14ac:dyDescent="0.25">
      <c r="A29" s="17"/>
      <c r="B29" s="59">
        <v>4</v>
      </c>
      <c r="C29" s="29" t="s">
        <v>104</v>
      </c>
      <c r="D29" s="44" t="s">
        <v>18</v>
      </c>
      <c r="E29" s="18"/>
      <c r="F29" s="21"/>
      <c r="G29" s="22"/>
      <c r="H29" s="56"/>
    </row>
    <row r="30" spans="1:8" ht="13.2" x14ac:dyDescent="0.25">
      <c r="A30" s="17"/>
      <c r="B30" s="76" t="s">
        <v>437</v>
      </c>
      <c r="C30" s="74"/>
      <c r="D30" s="75"/>
      <c r="E30" s="73"/>
      <c r="F30" s="74"/>
      <c r="G30" s="18"/>
      <c r="H30" s="56"/>
    </row>
    <row r="31" spans="1:8" ht="13.2" x14ac:dyDescent="0.25">
      <c r="F31" s="61"/>
      <c r="G31" s="22"/>
      <c r="H31" s="56"/>
    </row>
    <row r="32" spans="1:8" ht="15.6" x14ac:dyDescent="0.25">
      <c r="A32" s="23">
        <v>5</v>
      </c>
      <c r="B32" s="72" t="s">
        <v>438</v>
      </c>
      <c r="C32" s="73"/>
      <c r="D32" s="73"/>
      <c r="E32" s="74"/>
      <c r="F32" s="57" t="s">
        <v>439</v>
      </c>
      <c r="G32" s="26">
        <f ca="1">IF($H32=2000,,RANK(H32,$H$4:$H$112,TRUE))</f>
        <v>5</v>
      </c>
      <c r="H32" s="58">
        <f ca="1">IFERROR(__xludf.DUMMYFUNCTION("IF(REGEXMATCH(F32,""^\d{1,2}:\d\d,\d{1,2}""),VALUE(LEFT($F32,SEARCH("":"",F32)-1))*60+VALUE(MID($F32,SEARCH("":"",F32)+1,LEN($F32))),2000)"),134)</f>
        <v>134</v>
      </c>
    </row>
    <row r="33" spans="1:8" ht="13.2" x14ac:dyDescent="0.25">
      <c r="A33" s="17"/>
      <c r="B33" s="28">
        <v>1</v>
      </c>
      <c r="C33" s="29" t="s">
        <v>52</v>
      </c>
      <c r="D33" s="44" t="s">
        <v>18</v>
      </c>
      <c r="E33" s="18"/>
      <c r="F33" s="21"/>
      <c r="G33" s="22"/>
      <c r="H33" s="56"/>
    </row>
    <row r="34" spans="1:8" ht="13.2" x14ac:dyDescent="0.25">
      <c r="A34" s="17"/>
      <c r="B34" s="28">
        <v>2</v>
      </c>
      <c r="C34" s="29" t="s">
        <v>440</v>
      </c>
      <c r="D34" s="44" t="s">
        <v>10</v>
      </c>
      <c r="E34" s="18"/>
      <c r="F34" s="21"/>
      <c r="G34" s="22"/>
      <c r="H34" s="56"/>
    </row>
    <row r="35" spans="1:8" ht="13.2" x14ac:dyDescent="0.25">
      <c r="A35" s="17"/>
      <c r="B35" s="28">
        <v>3</v>
      </c>
      <c r="C35" s="29" t="s">
        <v>149</v>
      </c>
      <c r="D35" s="44" t="s">
        <v>26</v>
      </c>
      <c r="E35" s="18"/>
      <c r="F35" s="21"/>
      <c r="G35" s="22"/>
      <c r="H35" s="56"/>
    </row>
    <row r="36" spans="1:8" ht="13.2" x14ac:dyDescent="0.25">
      <c r="A36" s="17"/>
      <c r="B36" s="59">
        <v>4</v>
      </c>
      <c r="C36" s="29" t="s">
        <v>441</v>
      </c>
      <c r="D36" s="44" t="s">
        <v>26</v>
      </c>
      <c r="E36" s="18"/>
      <c r="F36" s="21"/>
      <c r="G36" s="22"/>
      <c r="H36" s="56"/>
    </row>
    <row r="37" spans="1:8" ht="13.2" x14ac:dyDescent="0.25">
      <c r="A37" s="17"/>
      <c r="B37" s="76" t="s">
        <v>442</v>
      </c>
      <c r="C37" s="74"/>
      <c r="D37" s="75"/>
      <c r="E37" s="73"/>
      <c r="F37" s="74"/>
      <c r="G37" s="18"/>
      <c r="H37" s="56"/>
    </row>
    <row r="38" spans="1:8" ht="13.2" x14ac:dyDescent="0.25">
      <c r="F38" s="61"/>
      <c r="G38" s="22"/>
      <c r="H38" s="56"/>
    </row>
    <row r="39" spans="1:8" ht="15.6" x14ac:dyDescent="0.25">
      <c r="A39" s="23">
        <v>6</v>
      </c>
      <c r="B39" s="72" t="s">
        <v>64</v>
      </c>
      <c r="C39" s="73"/>
      <c r="D39" s="73"/>
      <c r="E39" s="74"/>
      <c r="F39" s="57" t="s">
        <v>443</v>
      </c>
      <c r="G39" s="26">
        <f ca="1">IF($H39=2000,,RANK(H39,$H$4:$H$112,TRUE))</f>
        <v>6</v>
      </c>
      <c r="H39" s="58">
        <f ca="1">IFERROR(__xludf.DUMMYFUNCTION("IF(REGEXMATCH(F39,""^\d{1,2}:\d\d,\d{1,2}""),VALUE(LEFT($F39,SEARCH("":"",F39)-1))*60+VALUE(MID($F39,SEARCH("":"",F39)+1,LEN($F39))),2000)"),134.6)</f>
        <v>134.6</v>
      </c>
    </row>
    <row r="40" spans="1:8" ht="13.2" x14ac:dyDescent="0.25">
      <c r="A40" s="17"/>
      <c r="B40" s="28">
        <v>1</v>
      </c>
      <c r="C40" s="29" t="s">
        <v>444</v>
      </c>
      <c r="D40" s="44" t="s">
        <v>26</v>
      </c>
      <c r="E40" s="18"/>
      <c r="F40" s="21"/>
      <c r="G40" s="22"/>
      <c r="H40" s="56"/>
    </row>
    <row r="41" spans="1:8" ht="13.2" x14ac:dyDescent="0.25">
      <c r="A41" s="17"/>
      <c r="B41" s="28">
        <v>2</v>
      </c>
      <c r="C41" s="29" t="s">
        <v>108</v>
      </c>
      <c r="D41" s="44" t="s">
        <v>26</v>
      </c>
      <c r="E41" s="18"/>
      <c r="F41" s="21"/>
      <c r="G41" s="22"/>
      <c r="H41" s="56"/>
    </row>
    <row r="42" spans="1:8" ht="13.2" x14ac:dyDescent="0.25">
      <c r="A42" s="17"/>
      <c r="B42" s="28">
        <v>3</v>
      </c>
      <c r="C42" s="29" t="s">
        <v>117</v>
      </c>
      <c r="D42" s="44" t="s">
        <v>32</v>
      </c>
      <c r="E42" s="18"/>
      <c r="F42" s="21"/>
      <c r="G42" s="22"/>
      <c r="H42" s="56"/>
    </row>
    <row r="43" spans="1:8" ht="13.2" x14ac:dyDescent="0.25">
      <c r="A43" s="17"/>
      <c r="B43" s="59">
        <v>4</v>
      </c>
      <c r="C43" s="29" t="s">
        <v>114</v>
      </c>
      <c r="D43" s="44" t="s">
        <v>32</v>
      </c>
      <c r="E43" s="18"/>
      <c r="F43" s="21"/>
      <c r="G43" s="22"/>
      <c r="H43" s="56"/>
    </row>
    <row r="44" spans="1:8" ht="13.2" x14ac:dyDescent="0.25">
      <c r="A44" s="17"/>
      <c r="B44" s="76" t="s">
        <v>392</v>
      </c>
      <c r="C44" s="74"/>
      <c r="D44" s="75"/>
      <c r="E44" s="73"/>
      <c r="F44" s="74"/>
      <c r="G44" s="18"/>
      <c r="H44" s="56"/>
    </row>
    <row r="45" spans="1:8" ht="13.2" x14ac:dyDescent="0.25">
      <c r="F45" s="61"/>
      <c r="G45" s="22"/>
      <c r="H45" s="56"/>
    </row>
    <row r="46" spans="1:8" ht="15.6" x14ac:dyDescent="0.25">
      <c r="A46" s="23">
        <v>7</v>
      </c>
      <c r="B46" s="72" t="s">
        <v>8</v>
      </c>
      <c r="C46" s="73"/>
      <c r="D46" s="73"/>
      <c r="E46" s="74"/>
      <c r="F46" s="57" t="s">
        <v>445</v>
      </c>
      <c r="G46" s="26">
        <f ca="1">IF($H46=2000,,RANK(H46,$H$4:$H$112,TRUE))</f>
        <v>7</v>
      </c>
      <c r="H46" s="58">
        <f ca="1">IFERROR(__xludf.DUMMYFUNCTION("IF(REGEXMATCH(F46,""^\d{1,2}:\d\d,\d{1,2}""),VALUE(LEFT($F46,SEARCH("":"",F46)-1))*60+VALUE(MID($F46,SEARCH("":"",F46)+1,LEN($F46))),2000)"),135.7)</f>
        <v>135.69999999999999</v>
      </c>
    </row>
    <row r="47" spans="1:8" ht="13.2" x14ac:dyDescent="0.25">
      <c r="A47" s="17"/>
      <c r="B47" s="28">
        <v>1</v>
      </c>
      <c r="C47" s="29" t="s">
        <v>446</v>
      </c>
      <c r="D47" s="44" t="s">
        <v>10</v>
      </c>
      <c r="E47" s="18"/>
      <c r="F47" s="21"/>
      <c r="G47" s="22"/>
      <c r="H47" s="56"/>
    </row>
    <row r="48" spans="1:8" ht="13.2" x14ac:dyDescent="0.25">
      <c r="A48" s="17"/>
      <c r="B48" s="28">
        <v>2</v>
      </c>
      <c r="C48" s="29" t="s">
        <v>165</v>
      </c>
      <c r="D48" s="44" t="s">
        <v>10</v>
      </c>
      <c r="E48" s="18"/>
      <c r="F48" s="21"/>
      <c r="G48" s="22"/>
      <c r="H48" s="56"/>
    </row>
    <row r="49" spans="1:8" ht="13.2" x14ac:dyDescent="0.25">
      <c r="A49" s="17"/>
      <c r="B49" s="28">
        <v>3</v>
      </c>
      <c r="C49" s="29" t="s">
        <v>14</v>
      </c>
      <c r="D49" s="44" t="s">
        <v>15</v>
      </c>
      <c r="E49" s="18"/>
      <c r="F49" s="21"/>
      <c r="G49" s="22"/>
      <c r="H49" s="56"/>
    </row>
    <row r="50" spans="1:8" ht="13.2" x14ac:dyDescent="0.25">
      <c r="A50" s="17"/>
      <c r="B50" s="59">
        <v>4</v>
      </c>
      <c r="C50" s="29" t="s">
        <v>17</v>
      </c>
      <c r="D50" s="44" t="s">
        <v>18</v>
      </c>
      <c r="E50" s="18"/>
      <c r="F50" s="21"/>
      <c r="G50" s="22"/>
      <c r="H50" s="56"/>
    </row>
    <row r="51" spans="1:8" ht="13.2" x14ac:dyDescent="0.25">
      <c r="A51" s="17"/>
      <c r="B51" s="76" t="s">
        <v>386</v>
      </c>
      <c r="C51" s="74"/>
      <c r="D51" s="75"/>
      <c r="E51" s="73"/>
      <c r="F51" s="74"/>
      <c r="G51" s="18"/>
      <c r="H51" s="56"/>
    </row>
    <row r="52" spans="1:8" ht="13.2" x14ac:dyDescent="0.25">
      <c r="F52" s="61"/>
      <c r="G52" s="22"/>
      <c r="H52" s="56"/>
    </row>
    <row r="53" spans="1:8" ht="15.6" x14ac:dyDescent="0.25">
      <c r="A53" s="23">
        <v>8</v>
      </c>
      <c r="B53" s="72" t="s">
        <v>447</v>
      </c>
      <c r="C53" s="73"/>
      <c r="D53" s="73"/>
      <c r="E53" s="74"/>
      <c r="F53" s="57" t="s">
        <v>448</v>
      </c>
      <c r="G53" s="26">
        <f ca="1">IF($H53=2000,,RANK(H53,$H$4:$H$112,TRUE))</f>
        <v>11</v>
      </c>
      <c r="H53" s="58">
        <f ca="1">IFERROR(__xludf.DUMMYFUNCTION("IF(REGEXMATCH(F53,""^\d{1,2}:\d\d,\d{1,2}""),VALUE(LEFT($F53,SEARCH("":"",F53)-1))*60+VALUE(MID($F53,SEARCH("":"",F53)+1,LEN($F53))),2000)"),140.8)</f>
        <v>140.80000000000001</v>
      </c>
    </row>
    <row r="54" spans="1:8" ht="13.2" x14ac:dyDescent="0.25">
      <c r="A54" s="17"/>
      <c r="B54" s="28">
        <v>1</v>
      </c>
      <c r="C54" s="29" t="s">
        <v>157</v>
      </c>
      <c r="D54" s="44" t="s">
        <v>26</v>
      </c>
      <c r="E54" s="18"/>
      <c r="F54" s="21"/>
      <c r="G54" s="22"/>
      <c r="H54" s="56"/>
    </row>
    <row r="55" spans="1:8" ht="13.2" x14ac:dyDescent="0.25">
      <c r="A55" s="17"/>
      <c r="B55" s="28">
        <v>2</v>
      </c>
      <c r="C55" s="29" t="s">
        <v>159</v>
      </c>
      <c r="D55" s="44" t="s">
        <v>18</v>
      </c>
      <c r="E55" s="18"/>
      <c r="F55" s="21"/>
      <c r="G55" s="22"/>
      <c r="H55" s="56"/>
    </row>
    <row r="56" spans="1:8" ht="13.2" x14ac:dyDescent="0.25">
      <c r="A56" s="17"/>
      <c r="B56" s="28">
        <v>3</v>
      </c>
      <c r="C56" s="29" t="s">
        <v>449</v>
      </c>
      <c r="D56" s="44" t="s">
        <v>26</v>
      </c>
      <c r="E56" s="18"/>
      <c r="F56" s="21"/>
      <c r="G56" s="22"/>
      <c r="H56" s="56"/>
    </row>
    <row r="57" spans="1:8" ht="13.2" x14ac:dyDescent="0.25">
      <c r="A57" s="17"/>
      <c r="B57" s="59">
        <v>4</v>
      </c>
      <c r="C57" s="29" t="s">
        <v>151</v>
      </c>
      <c r="D57" s="44" t="s">
        <v>26</v>
      </c>
      <c r="E57" s="18"/>
      <c r="F57" s="21"/>
      <c r="G57" s="22"/>
      <c r="H57" s="56"/>
    </row>
    <row r="58" spans="1:8" ht="13.2" x14ac:dyDescent="0.25">
      <c r="A58" s="17"/>
      <c r="B58" s="76" t="s">
        <v>403</v>
      </c>
      <c r="C58" s="74"/>
      <c r="D58" s="75"/>
      <c r="E58" s="73"/>
      <c r="F58" s="74"/>
      <c r="G58" s="18"/>
      <c r="H58" s="56"/>
    </row>
    <row r="59" spans="1:8" ht="13.2" x14ac:dyDescent="0.25">
      <c r="F59" s="61"/>
      <c r="G59" s="22"/>
      <c r="H59" s="56"/>
    </row>
    <row r="60" spans="1:8" ht="15.6" x14ac:dyDescent="0.25">
      <c r="A60" s="23">
        <v>9</v>
      </c>
      <c r="B60" s="72" t="s">
        <v>450</v>
      </c>
      <c r="C60" s="73"/>
      <c r="D60" s="73"/>
      <c r="E60" s="74"/>
      <c r="F60" s="57" t="s">
        <v>451</v>
      </c>
      <c r="G60" s="26">
        <f ca="1">IF($H60=2000,,RANK(H60,$H$4:$H$112,TRUE))</f>
        <v>12</v>
      </c>
      <c r="H60" s="58">
        <f ca="1">IFERROR(__xludf.DUMMYFUNCTION("IF(REGEXMATCH(F60,""^\d{1,2}:\d\d,\d{1,2}""),VALUE(LEFT($F60,SEARCH("":"",F60)-1))*60+VALUE(MID($F60,SEARCH("":"",F60)+1,LEN($F60))),2000)"),143.4)</f>
        <v>143.4</v>
      </c>
    </row>
    <row r="61" spans="1:8" ht="13.2" x14ac:dyDescent="0.25">
      <c r="A61" s="17"/>
      <c r="B61" s="28">
        <v>1</v>
      </c>
      <c r="C61" s="29" t="s">
        <v>452</v>
      </c>
      <c r="D61" s="44" t="s">
        <v>18</v>
      </c>
      <c r="E61" s="18"/>
      <c r="F61" s="21"/>
      <c r="G61" s="22"/>
      <c r="H61" s="56"/>
    </row>
    <row r="62" spans="1:8" ht="13.2" x14ac:dyDescent="0.25">
      <c r="A62" s="17"/>
      <c r="B62" s="28">
        <v>2</v>
      </c>
      <c r="C62" s="29" t="s">
        <v>453</v>
      </c>
      <c r="D62" s="44" t="s">
        <v>26</v>
      </c>
      <c r="E62" s="18"/>
      <c r="F62" s="21"/>
      <c r="G62" s="22"/>
      <c r="H62" s="56"/>
    </row>
    <row r="63" spans="1:8" ht="13.2" x14ac:dyDescent="0.25">
      <c r="A63" s="17"/>
      <c r="B63" s="28">
        <v>3</v>
      </c>
      <c r="C63" s="29" t="s">
        <v>454</v>
      </c>
      <c r="D63" s="44" t="s">
        <v>32</v>
      </c>
      <c r="E63" s="18"/>
      <c r="F63" s="21"/>
      <c r="G63" s="22"/>
      <c r="H63" s="56"/>
    </row>
    <row r="64" spans="1:8" ht="13.2" x14ac:dyDescent="0.25">
      <c r="A64" s="17"/>
      <c r="B64" s="59">
        <v>4</v>
      </c>
      <c r="C64" s="29" t="s">
        <v>455</v>
      </c>
      <c r="D64" s="44" t="s">
        <v>26</v>
      </c>
      <c r="E64" s="18"/>
      <c r="F64" s="21"/>
      <c r="G64" s="22"/>
      <c r="H64" s="56"/>
    </row>
    <row r="65" spans="1:8" ht="13.2" x14ac:dyDescent="0.25">
      <c r="A65" s="17"/>
      <c r="B65" s="76" t="s">
        <v>456</v>
      </c>
      <c r="C65" s="74"/>
      <c r="D65" s="75"/>
      <c r="E65" s="73"/>
      <c r="F65" s="74"/>
      <c r="G65" s="18"/>
      <c r="H65" s="56"/>
    </row>
    <row r="66" spans="1:8" ht="13.2" x14ac:dyDescent="0.25">
      <c r="F66" s="61"/>
      <c r="G66" s="22"/>
      <c r="H66" s="56"/>
    </row>
    <row r="67" spans="1:8" ht="15.6" x14ac:dyDescent="0.25">
      <c r="A67" s="23">
        <v>10</v>
      </c>
      <c r="B67" s="72" t="s">
        <v>457</v>
      </c>
      <c r="C67" s="73"/>
      <c r="D67" s="73"/>
      <c r="E67" s="74"/>
      <c r="F67" s="57" t="s">
        <v>458</v>
      </c>
      <c r="G67" s="26">
        <f ca="1">IF($H67=2000,,RANK(H67,$H$4:$H$112,TRUE))</f>
        <v>13</v>
      </c>
      <c r="H67" s="58">
        <f ca="1">IFERROR(__xludf.DUMMYFUNCTION("IF(REGEXMATCH(F67,""^\d{1,2}:\d\d,\d{1,2}""),VALUE(LEFT($F67,SEARCH("":"",F67)-1))*60+VALUE(MID($F67,SEARCH("":"",F67)+1,LEN($F67))),2000)"),144.2)</f>
        <v>144.19999999999999</v>
      </c>
    </row>
    <row r="68" spans="1:8" ht="13.2" x14ac:dyDescent="0.25">
      <c r="A68" s="17"/>
      <c r="B68" s="28">
        <v>1</v>
      </c>
      <c r="C68" s="29" t="s">
        <v>141</v>
      </c>
      <c r="D68" s="44" t="s">
        <v>26</v>
      </c>
      <c r="E68" s="18"/>
      <c r="F68" s="21"/>
      <c r="G68" s="22"/>
      <c r="H68" s="56"/>
    </row>
    <row r="69" spans="1:8" ht="13.2" x14ac:dyDescent="0.25">
      <c r="A69" s="17"/>
      <c r="B69" s="28">
        <v>2</v>
      </c>
      <c r="C69" s="29" t="s">
        <v>147</v>
      </c>
      <c r="D69" s="44" t="s">
        <v>26</v>
      </c>
      <c r="E69" s="18"/>
      <c r="F69" s="21"/>
      <c r="G69" s="22"/>
      <c r="H69" s="56"/>
    </row>
    <row r="70" spans="1:8" ht="13.2" x14ac:dyDescent="0.25">
      <c r="A70" s="17"/>
      <c r="B70" s="28">
        <v>3</v>
      </c>
      <c r="C70" s="29" t="s">
        <v>256</v>
      </c>
      <c r="D70" s="44" t="s">
        <v>10</v>
      </c>
      <c r="E70" s="18"/>
      <c r="F70" s="21"/>
      <c r="G70" s="22"/>
      <c r="H70" s="56"/>
    </row>
    <row r="71" spans="1:8" ht="13.2" x14ac:dyDescent="0.25">
      <c r="A71" s="17"/>
      <c r="B71" s="59">
        <v>4</v>
      </c>
      <c r="C71" s="29" t="s">
        <v>56</v>
      </c>
      <c r="D71" s="44" t="s">
        <v>10</v>
      </c>
      <c r="E71" s="18"/>
      <c r="F71" s="21"/>
      <c r="G71" s="22"/>
      <c r="H71" s="56"/>
    </row>
    <row r="72" spans="1:8" ht="13.2" x14ac:dyDescent="0.25">
      <c r="A72" s="17"/>
      <c r="B72" s="76" t="s">
        <v>442</v>
      </c>
      <c r="C72" s="74"/>
      <c r="D72" s="75"/>
      <c r="E72" s="73"/>
      <c r="F72" s="74"/>
      <c r="G72" s="18"/>
      <c r="H72" s="56"/>
    </row>
    <row r="73" spans="1:8" ht="13.2" x14ac:dyDescent="0.25">
      <c r="F73" s="61"/>
      <c r="G73" s="22"/>
      <c r="H73" s="56"/>
    </row>
    <row r="74" spans="1:8" ht="15.6" x14ac:dyDescent="0.25">
      <c r="A74" s="23">
        <v>11</v>
      </c>
      <c r="B74" s="72" t="s">
        <v>459</v>
      </c>
      <c r="C74" s="73"/>
      <c r="D74" s="73"/>
      <c r="E74" s="74"/>
      <c r="F74" s="57" t="s">
        <v>460</v>
      </c>
      <c r="G74" s="26">
        <f ca="1">IF($H74=2000,,RANK(H74,$H$4:$H$112,TRUE))</f>
        <v>14</v>
      </c>
      <c r="H74" s="58">
        <f ca="1">IFERROR(__xludf.DUMMYFUNCTION("IF(REGEXMATCH(F74,""^\d{1,2}:\d\d,\d{1,2}""),VALUE(LEFT($F74,SEARCH("":"",F74)-1))*60+VALUE(MID($F74,SEARCH("":"",F74)+1,LEN($F74))),2000)"),146.3)</f>
        <v>146.30000000000001</v>
      </c>
    </row>
    <row r="75" spans="1:8" ht="13.2" x14ac:dyDescent="0.25">
      <c r="A75" s="17"/>
      <c r="B75" s="28">
        <v>1</v>
      </c>
      <c r="C75" s="29" t="s">
        <v>178</v>
      </c>
      <c r="D75" s="44" t="s">
        <v>18</v>
      </c>
      <c r="E75" s="18"/>
      <c r="F75" s="21"/>
      <c r="G75" s="22"/>
      <c r="H75" s="56"/>
    </row>
    <row r="76" spans="1:8" ht="13.2" x14ac:dyDescent="0.25">
      <c r="A76" s="17"/>
      <c r="B76" s="28">
        <v>2</v>
      </c>
      <c r="C76" s="29" t="s">
        <v>461</v>
      </c>
      <c r="D76" s="44" t="s">
        <v>18</v>
      </c>
      <c r="E76" s="18"/>
      <c r="F76" s="21"/>
      <c r="G76" s="22"/>
      <c r="H76" s="56"/>
    </row>
    <row r="77" spans="1:8" ht="13.2" x14ac:dyDescent="0.25">
      <c r="A77" s="17"/>
      <c r="B77" s="28">
        <v>3</v>
      </c>
      <c r="C77" s="29" t="s">
        <v>462</v>
      </c>
      <c r="D77" s="44" t="s">
        <v>41</v>
      </c>
      <c r="E77" s="18"/>
      <c r="F77" s="21"/>
      <c r="G77" s="22"/>
      <c r="H77" s="56"/>
    </row>
    <row r="78" spans="1:8" ht="13.2" x14ac:dyDescent="0.25">
      <c r="A78" s="17"/>
      <c r="B78" s="59">
        <v>4</v>
      </c>
      <c r="C78" s="29" t="s">
        <v>463</v>
      </c>
      <c r="D78" s="44" t="s">
        <v>15</v>
      </c>
      <c r="E78" s="18"/>
      <c r="F78" s="21"/>
      <c r="G78" s="22"/>
      <c r="H78" s="56"/>
    </row>
    <row r="79" spans="1:8" ht="13.2" x14ac:dyDescent="0.25">
      <c r="A79" s="17"/>
      <c r="B79" s="76" t="s">
        <v>415</v>
      </c>
      <c r="C79" s="74"/>
      <c r="D79" s="75"/>
      <c r="E79" s="73"/>
      <c r="F79" s="74"/>
      <c r="G79" s="18"/>
      <c r="H79" s="56"/>
    </row>
    <row r="80" spans="1:8" ht="13.2" x14ac:dyDescent="0.25">
      <c r="F80" s="61"/>
      <c r="G80" s="22"/>
      <c r="H80" s="56"/>
    </row>
    <row r="81" spans="1:8" ht="15.6" x14ac:dyDescent="0.25">
      <c r="A81" s="23">
        <v>12</v>
      </c>
      <c r="B81" s="72" t="s">
        <v>464</v>
      </c>
      <c r="C81" s="73"/>
      <c r="D81" s="73"/>
      <c r="E81" s="74"/>
      <c r="F81" s="57" t="s">
        <v>465</v>
      </c>
      <c r="G81" s="26">
        <f ca="1">IF($H81=2000,,RANK(H81,$H$4:$H$112,TRUE))</f>
        <v>15</v>
      </c>
      <c r="H81" s="58">
        <f ca="1">IFERROR(__xludf.DUMMYFUNCTION("IF(REGEXMATCH(F81,""^\d{1,2}:\d\d,\d{1,2}""),VALUE(LEFT($F81,SEARCH("":"",F81)-1))*60+VALUE(MID($F81,SEARCH("":"",F81)+1,LEN($F81))),2000)"),148.9)</f>
        <v>148.9</v>
      </c>
    </row>
    <row r="82" spans="1:8" ht="13.2" x14ac:dyDescent="0.25">
      <c r="A82" s="17"/>
      <c r="B82" s="28">
        <v>1</v>
      </c>
      <c r="C82" s="29" t="s">
        <v>369</v>
      </c>
      <c r="D82" s="44" t="s">
        <v>15</v>
      </c>
      <c r="E82" s="18"/>
      <c r="F82" s="21"/>
      <c r="G82" s="22"/>
      <c r="H82" s="56"/>
    </row>
    <row r="83" spans="1:8" ht="13.2" x14ac:dyDescent="0.25">
      <c r="A83" s="17"/>
      <c r="B83" s="28">
        <v>2</v>
      </c>
      <c r="C83" s="29" t="s">
        <v>466</v>
      </c>
      <c r="D83" s="44" t="s">
        <v>18</v>
      </c>
      <c r="E83" s="18"/>
      <c r="F83" s="21"/>
      <c r="G83" s="22"/>
      <c r="H83" s="56"/>
    </row>
    <row r="84" spans="1:8" ht="13.2" x14ac:dyDescent="0.25">
      <c r="A84" s="17"/>
      <c r="B84" s="28">
        <v>3</v>
      </c>
      <c r="C84" s="29" t="s">
        <v>467</v>
      </c>
      <c r="D84" s="44" t="s">
        <v>26</v>
      </c>
      <c r="E84" s="18"/>
      <c r="F84" s="21"/>
      <c r="G84" s="22"/>
      <c r="H84" s="56"/>
    </row>
    <row r="85" spans="1:8" ht="13.2" x14ac:dyDescent="0.25">
      <c r="A85" s="17"/>
      <c r="B85" s="59">
        <v>4</v>
      </c>
      <c r="C85" s="29" t="s">
        <v>468</v>
      </c>
      <c r="D85" s="44" t="s">
        <v>18</v>
      </c>
      <c r="E85" s="18"/>
      <c r="F85" s="21"/>
      <c r="G85" s="22"/>
      <c r="H85" s="56"/>
    </row>
    <row r="86" spans="1:8" ht="13.2" x14ac:dyDescent="0.25">
      <c r="A86" s="17"/>
      <c r="B86" s="76" t="s">
        <v>409</v>
      </c>
      <c r="C86" s="74"/>
      <c r="D86" s="75"/>
      <c r="E86" s="73"/>
      <c r="F86" s="74"/>
      <c r="G86" s="18"/>
      <c r="H86" s="56"/>
    </row>
    <row r="87" spans="1:8" ht="13.2" x14ac:dyDescent="0.25">
      <c r="F87" s="61"/>
      <c r="G87" s="22"/>
      <c r="H87" s="56"/>
    </row>
    <row r="88" spans="1:8" ht="15.6" x14ac:dyDescent="0.25">
      <c r="A88" s="23">
        <v>13</v>
      </c>
      <c r="B88" s="72" t="s">
        <v>469</v>
      </c>
      <c r="C88" s="78"/>
      <c r="D88" s="78"/>
      <c r="E88" s="79"/>
      <c r="F88" s="57" t="s">
        <v>470</v>
      </c>
      <c r="G88" s="26">
        <f ca="1">IF($H88=2000,,RANK(H88,$H$4:$H$112,TRUE))</f>
        <v>9</v>
      </c>
      <c r="H88" s="58">
        <f ca="1">IFERROR(__xludf.DUMMYFUNCTION("IF(REGEXMATCH(F88,""^\d{1,2}:\d\d,\d{1,2}""),VALUE(LEFT($F88,SEARCH("":"",F88)-1))*60+VALUE(MID($F88,SEARCH("":"",F88)+1,LEN($F88))),2000)"),137.7)</f>
        <v>137.69999999999999</v>
      </c>
    </row>
    <row r="89" spans="1:8" ht="13.2" x14ac:dyDescent="0.25">
      <c r="A89" s="17"/>
      <c r="B89" s="28">
        <v>1</v>
      </c>
      <c r="C89" s="29" t="s">
        <v>471</v>
      </c>
      <c r="D89" s="44" t="s">
        <v>18</v>
      </c>
      <c r="E89" s="18"/>
      <c r="F89" s="21"/>
      <c r="G89" s="22"/>
      <c r="H89" s="56"/>
    </row>
    <row r="90" spans="1:8" ht="13.2" x14ac:dyDescent="0.25">
      <c r="A90" s="17"/>
      <c r="B90" s="28">
        <v>2</v>
      </c>
      <c r="C90" s="29" t="s">
        <v>472</v>
      </c>
      <c r="D90" s="44" t="s">
        <v>10</v>
      </c>
      <c r="E90" s="18"/>
      <c r="F90" s="21"/>
      <c r="G90" s="22"/>
      <c r="H90" s="56"/>
    </row>
    <row r="91" spans="1:8" ht="13.2" x14ac:dyDescent="0.25">
      <c r="A91" s="17"/>
      <c r="B91" s="28">
        <v>3</v>
      </c>
      <c r="C91" s="29" t="s">
        <v>473</v>
      </c>
      <c r="D91" s="44" t="s">
        <v>18</v>
      </c>
      <c r="E91" s="18"/>
      <c r="F91" s="21"/>
      <c r="G91" s="22"/>
      <c r="H91" s="56"/>
    </row>
    <row r="92" spans="1:8" ht="13.2" x14ac:dyDescent="0.25">
      <c r="A92" s="17"/>
      <c r="B92" s="59">
        <v>4</v>
      </c>
      <c r="C92" s="29" t="s">
        <v>474</v>
      </c>
      <c r="D92" s="44" t="s">
        <v>18</v>
      </c>
      <c r="E92" s="18"/>
      <c r="F92" s="21"/>
      <c r="G92" s="22"/>
      <c r="H92" s="56"/>
    </row>
    <row r="93" spans="1:8" ht="13.2" x14ac:dyDescent="0.25">
      <c r="A93" s="17"/>
      <c r="B93" s="76" t="s">
        <v>435</v>
      </c>
      <c r="C93" s="80"/>
      <c r="D93" s="75"/>
      <c r="E93" s="77"/>
      <c r="F93" s="81"/>
      <c r="G93" s="18"/>
      <c r="H93" s="56"/>
    </row>
    <row r="94" spans="1:8" ht="13.2" x14ac:dyDescent="0.25">
      <c r="F94" s="61"/>
      <c r="G94" s="22"/>
      <c r="H94" s="56"/>
    </row>
    <row r="95" spans="1:8" ht="15.6" x14ac:dyDescent="0.25">
      <c r="A95" s="23">
        <v>14</v>
      </c>
      <c r="B95" s="72" t="s">
        <v>475</v>
      </c>
      <c r="C95" s="78"/>
      <c r="D95" s="78"/>
      <c r="E95" s="79"/>
      <c r="F95" s="57" t="s">
        <v>476</v>
      </c>
      <c r="G95" s="26">
        <f ca="1">IF($H95=2000,,RANK(H95,$H$4:$H$112,TRUE))</f>
        <v>10</v>
      </c>
      <c r="H95" s="58">
        <f ca="1">IFERROR(__xludf.DUMMYFUNCTION("IF(REGEXMATCH(F95,""^\d{1,2}:\d\d,\d{1,2}""),VALUE(LEFT($F95,SEARCH("":"",F95)-1))*60+VALUE(MID($F95,SEARCH("":"",F95)+1,LEN($F95))),2000)"),138.3)</f>
        <v>138.30000000000001</v>
      </c>
    </row>
    <row r="96" spans="1:8" ht="13.2" x14ac:dyDescent="0.25">
      <c r="A96" s="17"/>
      <c r="B96" s="28">
        <v>1</v>
      </c>
      <c r="C96" s="29" t="s">
        <v>477</v>
      </c>
      <c r="D96" s="44" t="s">
        <v>32</v>
      </c>
      <c r="E96" s="18"/>
      <c r="F96" s="21"/>
      <c r="G96" s="22"/>
      <c r="H96" s="56"/>
    </row>
    <row r="97" spans="1:8" ht="13.2" x14ac:dyDescent="0.25">
      <c r="A97" s="17"/>
      <c r="B97" s="28">
        <v>2</v>
      </c>
      <c r="C97" s="29" t="s">
        <v>478</v>
      </c>
      <c r="D97" s="44" t="s">
        <v>18</v>
      </c>
      <c r="E97" s="18"/>
      <c r="F97" s="21"/>
      <c r="G97" s="22"/>
      <c r="H97" s="56"/>
    </row>
    <row r="98" spans="1:8" ht="13.2" x14ac:dyDescent="0.25">
      <c r="A98" s="17"/>
      <c r="B98" s="28">
        <v>3</v>
      </c>
      <c r="C98" s="29" t="s">
        <v>479</v>
      </c>
      <c r="D98" s="44" t="s">
        <v>18</v>
      </c>
      <c r="E98" s="18"/>
      <c r="F98" s="21"/>
      <c r="G98" s="22"/>
      <c r="H98" s="56"/>
    </row>
    <row r="99" spans="1:8" ht="13.2" x14ac:dyDescent="0.25">
      <c r="A99" s="17"/>
      <c r="B99" s="59">
        <v>4</v>
      </c>
      <c r="C99" s="29" t="s">
        <v>480</v>
      </c>
      <c r="D99" s="44" t="s">
        <v>18</v>
      </c>
      <c r="E99" s="18"/>
      <c r="F99" s="21"/>
      <c r="G99" s="22"/>
      <c r="H99" s="56"/>
    </row>
    <row r="100" spans="1:8" ht="13.2" x14ac:dyDescent="0.25">
      <c r="A100" s="17"/>
      <c r="B100" s="76" t="s">
        <v>435</v>
      </c>
      <c r="C100" s="80"/>
      <c r="D100" s="75"/>
      <c r="E100" s="77"/>
      <c r="F100" s="81"/>
      <c r="G100" s="18"/>
      <c r="H100" s="56"/>
    </row>
    <row r="101" spans="1:8" ht="13.2" x14ac:dyDescent="0.25">
      <c r="F101" s="61"/>
      <c r="G101" s="22"/>
      <c r="H101" s="56"/>
    </row>
    <row r="102" spans="1:8" ht="15.6" x14ac:dyDescent="0.25">
      <c r="A102" s="23">
        <v>15</v>
      </c>
      <c r="B102" s="72" t="s">
        <v>481</v>
      </c>
      <c r="C102" s="73"/>
      <c r="D102" s="73"/>
      <c r="E102" s="74"/>
      <c r="F102" s="57" t="s">
        <v>482</v>
      </c>
      <c r="G102" s="26">
        <f ca="1">IF($H102=2000,,RANK(H102,$H$4:$H$112,TRUE))</f>
        <v>8</v>
      </c>
      <c r="H102" s="58">
        <f ca="1">IFERROR(__xludf.DUMMYFUNCTION("IF(REGEXMATCH(F102,""^\d{1,2}:\d\d,\d{1,2}""),VALUE(LEFT($F102,SEARCH("":"",F102)-1))*60+VALUE(MID($F102,SEARCH("":"",F102)+1,LEN($F102))),2000)"),136.3)</f>
        <v>136.30000000000001</v>
      </c>
    </row>
    <row r="103" spans="1:8" ht="13.2" x14ac:dyDescent="0.25">
      <c r="A103" s="17"/>
      <c r="B103" s="28">
        <v>1</v>
      </c>
      <c r="C103" s="29" t="s">
        <v>483</v>
      </c>
      <c r="D103" s="44" t="s">
        <v>18</v>
      </c>
      <c r="E103" s="18"/>
      <c r="F103" s="21"/>
      <c r="G103" s="22"/>
      <c r="H103" s="56"/>
    </row>
    <row r="104" spans="1:8" ht="13.2" x14ac:dyDescent="0.25">
      <c r="A104" s="17"/>
      <c r="B104" s="28">
        <v>2</v>
      </c>
      <c r="C104" s="29" t="s">
        <v>144</v>
      </c>
      <c r="D104" s="44" t="s">
        <v>18</v>
      </c>
      <c r="E104" s="18"/>
      <c r="F104" s="21"/>
      <c r="G104" s="22"/>
      <c r="H104" s="56"/>
    </row>
    <row r="105" spans="1:8" ht="13.2" x14ac:dyDescent="0.25">
      <c r="A105" s="17"/>
      <c r="B105" s="28">
        <v>3</v>
      </c>
      <c r="C105" s="29" t="s">
        <v>145</v>
      </c>
      <c r="D105" s="44" t="s">
        <v>10</v>
      </c>
      <c r="E105" s="18"/>
      <c r="F105" s="21"/>
      <c r="G105" s="22"/>
      <c r="H105" s="56"/>
    </row>
    <row r="106" spans="1:8" ht="13.2" x14ac:dyDescent="0.25">
      <c r="A106" s="17"/>
      <c r="B106" s="59">
        <v>4</v>
      </c>
      <c r="C106" s="29" t="s">
        <v>81</v>
      </c>
      <c r="D106" s="44" t="s">
        <v>10</v>
      </c>
      <c r="E106" s="18"/>
      <c r="F106" s="21"/>
      <c r="G106" s="22"/>
      <c r="H106" s="56"/>
    </row>
    <row r="107" spans="1:8" ht="13.2" x14ac:dyDescent="0.25">
      <c r="A107" s="17"/>
      <c r="B107" s="76" t="s">
        <v>442</v>
      </c>
      <c r="C107" s="74"/>
      <c r="D107" s="77"/>
      <c r="E107" s="73"/>
      <c r="F107" s="73"/>
      <c r="G107" s="74"/>
      <c r="H107" s="56"/>
    </row>
    <row r="108" spans="1:8" ht="13.2" x14ac:dyDescent="0.25">
      <c r="F108" s="61"/>
      <c r="G108" s="22"/>
      <c r="H108" s="56"/>
    </row>
    <row r="109" spans="1:8" ht="13.2" x14ac:dyDescent="0.25">
      <c r="G109" s="22"/>
      <c r="H109" s="56"/>
    </row>
    <row r="110" spans="1:8" ht="13.2" x14ac:dyDescent="0.25">
      <c r="G110" s="22"/>
      <c r="H110" s="56"/>
    </row>
    <row r="111" spans="1:8" ht="13.2" x14ac:dyDescent="0.25">
      <c r="G111" s="22"/>
      <c r="H111" s="56"/>
    </row>
    <row r="112" spans="1:8" ht="13.2" x14ac:dyDescent="0.25">
      <c r="G112" s="22"/>
      <c r="H112" s="56"/>
    </row>
    <row r="113" spans="7:8" ht="13.2" x14ac:dyDescent="0.25">
      <c r="G113" s="22"/>
      <c r="H113" s="56"/>
    </row>
    <row r="114" spans="7:8" ht="13.2" x14ac:dyDescent="0.25">
      <c r="G114" s="22"/>
      <c r="H114" s="56"/>
    </row>
    <row r="115" spans="7:8" ht="13.2" x14ac:dyDescent="0.25">
      <c r="G115" s="22"/>
      <c r="H115" s="56"/>
    </row>
    <row r="116" spans="7:8" ht="13.2" x14ac:dyDescent="0.25">
      <c r="G116" s="22"/>
      <c r="H116" s="56"/>
    </row>
    <row r="117" spans="7:8" ht="13.2" x14ac:dyDescent="0.25">
      <c r="G117" s="22"/>
      <c r="H117" s="56"/>
    </row>
    <row r="118" spans="7:8" ht="13.2" x14ac:dyDescent="0.25">
      <c r="G118" s="22"/>
      <c r="H118" s="56"/>
    </row>
    <row r="119" spans="7:8" ht="13.2" x14ac:dyDescent="0.25">
      <c r="G119" s="22"/>
      <c r="H119" s="56"/>
    </row>
    <row r="120" spans="7:8" ht="13.2" x14ac:dyDescent="0.25">
      <c r="G120" s="22"/>
      <c r="H120" s="56"/>
    </row>
    <row r="121" spans="7:8" ht="13.2" x14ac:dyDescent="0.25">
      <c r="G121" s="22"/>
      <c r="H121" s="56"/>
    </row>
    <row r="122" spans="7:8" ht="13.2" x14ac:dyDescent="0.25">
      <c r="G122" s="22"/>
      <c r="H122" s="56"/>
    </row>
    <row r="123" spans="7:8" ht="13.2" x14ac:dyDescent="0.25">
      <c r="G123" s="22"/>
      <c r="H123" s="56"/>
    </row>
    <row r="124" spans="7:8" ht="13.2" x14ac:dyDescent="0.25">
      <c r="G124" s="22"/>
      <c r="H124" s="56"/>
    </row>
    <row r="125" spans="7:8" ht="13.2" x14ac:dyDescent="0.25">
      <c r="G125" s="22"/>
      <c r="H125" s="56"/>
    </row>
    <row r="126" spans="7:8" ht="13.2" x14ac:dyDescent="0.25">
      <c r="G126" s="22"/>
      <c r="H126" s="56"/>
    </row>
    <row r="127" spans="7:8" ht="13.2" x14ac:dyDescent="0.25">
      <c r="G127" s="22"/>
      <c r="H127" s="56"/>
    </row>
    <row r="128" spans="7:8" ht="13.2" x14ac:dyDescent="0.25">
      <c r="G128" s="22"/>
      <c r="H128" s="56"/>
    </row>
    <row r="129" spans="7:8" ht="13.2" x14ac:dyDescent="0.25">
      <c r="G129" s="22"/>
      <c r="H129" s="56"/>
    </row>
    <row r="130" spans="7:8" ht="13.2" x14ac:dyDescent="0.25">
      <c r="G130" s="22"/>
      <c r="H130" s="56"/>
    </row>
    <row r="131" spans="7:8" ht="13.2" x14ac:dyDescent="0.25">
      <c r="G131" s="22"/>
      <c r="H131" s="56"/>
    </row>
    <row r="132" spans="7:8" ht="13.2" x14ac:dyDescent="0.25">
      <c r="G132" s="22"/>
      <c r="H132" s="56"/>
    </row>
    <row r="133" spans="7:8" ht="13.2" x14ac:dyDescent="0.25">
      <c r="G133" s="22"/>
      <c r="H133" s="56"/>
    </row>
    <row r="134" spans="7:8" ht="13.2" x14ac:dyDescent="0.25">
      <c r="G134" s="22"/>
      <c r="H134" s="56"/>
    </row>
    <row r="135" spans="7:8" ht="13.2" x14ac:dyDescent="0.25">
      <c r="G135" s="22"/>
      <c r="H135" s="56"/>
    </row>
    <row r="136" spans="7:8" ht="13.2" x14ac:dyDescent="0.25">
      <c r="G136" s="22"/>
      <c r="H136" s="56"/>
    </row>
    <row r="137" spans="7:8" ht="13.2" x14ac:dyDescent="0.25">
      <c r="G137" s="22"/>
      <c r="H137" s="56"/>
    </row>
    <row r="138" spans="7:8" ht="13.2" x14ac:dyDescent="0.25">
      <c r="G138" s="22"/>
      <c r="H138" s="56"/>
    </row>
    <row r="139" spans="7:8" ht="13.2" x14ac:dyDescent="0.25">
      <c r="G139" s="22"/>
      <c r="H139" s="56"/>
    </row>
    <row r="140" spans="7:8" ht="13.2" x14ac:dyDescent="0.25">
      <c r="G140" s="22"/>
      <c r="H140" s="56"/>
    </row>
    <row r="141" spans="7:8" ht="13.2" x14ac:dyDescent="0.25">
      <c r="G141" s="22"/>
      <c r="H141" s="56"/>
    </row>
    <row r="142" spans="7:8" ht="13.2" x14ac:dyDescent="0.25">
      <c r="G142" s="22"/>
      <c r="H142" s="56"/>
    </row>
    <row r="143" spans="7:8" ht="13.2" x14ac:dyDescent="0.25">
      <c r="G143" s="22"/>
      <c r="H143" s="56"/>
    </row>
    <row r="144" spans="7:8" ht="13.2" x14ac:dyDescent="0.25">
      <c r="G144" s="22"/>
      <c r="H144" s="56"/>
    </row>
    <row r="145" spans="7:8" ht="13.2" x14ac:dyDescent="0.25">
      <c r="G145" s="22"/>
      <c r="H145" s="56"/>
    </row>
    <row r="146" spans="7:8" ht="13.2" x14ac:dyDescent="0.25">
      <c r="G146" s="22"/>
      <c r="H146" s="56"/>
    </row>
    <row r="147" spans="7:8" ht="13.2" x14ac:dyDescent="0.25">
      <c r="G147" s="22"/>
      <c r="H147" s="56"/>
    </row>
    <row r="148" spans="7:8" ht="13.2" x14ac:dyDescent="0.25">
      <c r="G148" s="22"/>
      <c r="H148" s="56"/>
    </row>
    <row r="149" spans="7:8" ht="13.2" x14ac:dyDescent="0.25">
      <c r="G149" s="22"/>
      <c r="H149" s="56"/>
    </row>
    <row r="150" spans="7:8" ht="13.2" x14ac:dyDescent="0.25">
      <c r="G150" s="22"/>
      <c r="H150" s="56"/>
    </row>
    <row r="151" spans="7:8" ht="13.2" x14ac:dyDescent="0.25">
      <c r="G151" s="22"/>
      <c r="H151" s="56"/>
    </row>
    <row r="152" spans="7:8" ht="13.2" x14ac:dyDescent="0.25">
      <c r="G152" s="22"/>
      <c r="H152" s="56"/>
    </row>
    <row r="153" spans="7:8" ht="13.2" x14ac:dyDescent="0.25">
      <c r="G153" s="22"/>
      <c r="H153" s="56"/>
    </row>
    <row r="154" spans="7:8" ht="13.2" x14ac:dyDescent="0.25">
      <c r="G154" s="22"/>
      <c r="H154" s="56"/>
    </row>
    <row r="155" spans="7:8" ht="13.2" x14ac:dyDescent="0.25">
      <c r="G155" s="22"/>
      <c r="H155" s="56"/>
    </row>
    <row r="156" spans="7:8" ht="13.2" x14ac:dyDescent="0.25">
      <c r="G156" s="22"/>
      <c r="H156" s="56"/>
    </row>
    <row r="157" spans="7:8" ht="13.2" x14ac:dyDescent="0.25">
      <c r="G157" s="22"/>
      <c r="H157" s="56"/>
    </row>
    <row r="158" spans="7:8" ht="13.2" x14ac:dyDescent="0.25">
      <c r="G158" s="22"/>
      <c r="H158" s="56"/>
    </row>
    <row r="159" spans="7:8" ht="13.2" x14ac:dyDescent="0.25">
      <c r="G159" s="22"/>
      <c r="H159" s="56"/>
    </row>
    <row r="160" spans="7:8" ht="13.2" x14ac:dyDescent="0.25">
      <c r="G160" s="22"/>
      <c r="H160" s="56"/>
    </row>
    <row r="161" spans="7:8" ht="13.2" x14ac:dyDescent="0.25">
      <c r="G161" s="22"/>
      <c r="H161" s="56"/>
    </row>
    <row r="162" spans="7:8" ht="13.2" x14ac:dyDescent="0.25">
      <c r="G162" s="22"/>
      <c r="H162" s="56"/>
    </row>
    <row r="163" spans="7:8" ht="13.2" x14ac:dyDescent="0.25">
      <c r="G163" s="22"/>
      <c r="H163" s="56"/>
    </row>
    <row r="164" spans="7:8" ht="13.2" x14ac:dyDescent="0.25">
      <c r="G164" s="22"/>
      <c r="H164" s="56"/>
    </row>
    <row r="165" spans="7:8" ht="13.2" x14ac:dyDescent="0.25">
      <c r="G165" s="22"/>
      <c r="H165" s="56"/>
    </row>
    <row r="166" spans="7:8" ht="13.2" x14ac:dyDescent="0.25">
      <c r="G166" s="22"/>
      <c r="H166" s="56"/>
    </row>
    <row r="167" spans="7:8" ht="13.2" x14ac:dyDescent="0.25">
      <c r="G167" s="22"/>
      <c r="H167" s="56"/>
    </row>
    <row r="168" spans="7:8" ht="13.2" x14ac:dyDescent="0.25">
      <c r="G168" s="22"/>
      <c r="H168" s="56"/>
    </row>
    <row r="169" spans="7:8" ht="13.2" x14ac:dyDescent="0.25">
      <c r="G169" s="22"/>
      <c r="H169" s="56"/>
    </row>
    <row r="170" spans="7:8" ht="13.2" x14ac:dyDescent="0.25">
      <c r="G170" s="22"/>
      <c r="H170" s="56"/>
    </row>
    <row r="171" spans="7:8" ht="13.2" x14ac:dyDescent="0.25">
      <c r="G171" s="22"/>
      <c r="H171" s="56"/>
    </row>
    <row r="172" spans="7:8" ht="13.2" x14ac:dyDescent="0.25">
      <c r="G172" s="22"/>
      <c r="H172" s="56"/>
    </row>
    <row r="173" spans="7:8" ht="13.2" x14ac:dyDescent="0.25">
      <c r="G173" s="22"/>
      <c r="H173" s="56"/>
    </row>
    <row r="174" spans="7:8" ht="13.2" x14ac:dyDescent="0.25">
      <c r="G174" s="22"/>
      <c r="H174" s="56"/>
    </row>
    <row r="175" spans="7:8" ht="13.2" x14ac:dyDescent="0.25">
      <c r="G175" s="22"/>
      <c r="H175" s="56"/>
    </row>
    <row r="176" spans="7:8" ht="13.2" x14ac:dyDescent="0.25">
      <c r="G176" s="22"/>
      <c r="H176" s="56"/>
    </row>
    <row r="177" spans="7:8" ht="13.2" x14ac:dyDescent="0.25">
      <c r="G177" s="22"/>
      <c r="H177" s="56"/>
    </row>
    <row r="178" spans="7:8" ht="13.2" x14ac:dyDescent="0.25">
      <c r="G178" s="22"/>
      <c r="H178" s="56"/>
    </row>
    <row r="179" spans="7:8" ht="13.2" x14ac:dyDescent="0.25">
      <c r="G179" s="22"/>
      <c r="H179" s="56"/>
    </row>
    <row r="180" spans="7:8" ht="13.2" x14ac:dyDescent="0.25">
      <c r="G180" s="22"/>
      <c r="H180" s="56"/>
    </row>
    <row r="181" spans="7:8" ht="13.2" x14ac:dyDescent="0.25">
      <c r="G181" s="22"/>
      <c r="H181" s="56"/>
    </row>
    <row r="182" spans="7:8" ht="13.2" x14ac:dyDescent="0.25">
      <c r="G182" s="22"/>
      <c r="H182" s="56"/>
    </row>
    <row r="183" spans="7:8" ht="13.2" x14ac:dyDescent="0.25">
      <c r="G183" s="22"/>
      <c r="H183" s="56"/>
    </row>
    <row r="184" spans="7:8" ht="13.2" x14ac:dyDescent="0.25">
      <c r="G184" s="22"/>
      <c r="H184" s="56"/>
    </row>
    <row r="185" spans="7:8" ht="13.2" x14ac:dyDescent="0.25">
      <c r="G185" s="22"/>
      <c r="H185" s="56"/>
    </row>
    <row r="186" spans="7:8" ht="13.2" x14ac:dyDescent="0.25">
      <c r="G186" s="22"/>
      <c r="H186" s="56"/>
    </row>
    <row r="187" spans="7:8" ht="13.2" x14ac:dyDescent="0.25">
      <c r="G187" s="22"/>
      <c r="H187" s="56"/>
    </row>
    <row r="188" spans="7:8" ht="13.2" x14ac:dyDescent="0.25">
      <c r="G188" s="22"/>
      <c r="H188" s="56"/>
    </row>
    <row r="189" spans="7:8" ht="13.2" x14ac:dyDescent="0.25">
      <c r="G189" s="22"/>
      <c r="H189" s="56"/>
    </row>
    <row r="190" spans="7:8" ht="13.2" x14ac:dyDescent="0.25">
      <c r="G190" s="22"/>
      <c r="H190" s="56"/>
    </row>
    <row r="191" spans="7:8" ht="13.2" x14ac:dyDescent="0.25">
      <c r="G191" s="22"/>
      <c r="H191" s="56"/>
    </row>
    <row r="192" spans="7:8" ht="13.2" x14ac:dyDescent="0.25">
      <c r="G192" s="22"/>
      <c r="H192" s="56"/>
    </row>
    <row r="193" spans="7:8" ht="13.2" x14ac:dyDescent="0.25">
      <c r="G193" s="22"/>
      <c r="H193" s="56"/>
    </row>
    <row r="194" spans="7:8" ht="13.2" x14ac:dyDescent="0.25">
      <c r="G194" s="22"/>
      <c r="H194" s="56"/>
    </row>
    <row r="195" spans="7:8" ht="13.2" x14ac:dyDescent="0.25">
      <c r="G195" s="22"/>
      <c r="H195" s="56"/>
    </row>
    <row r="196" spans="7:8" ht="13.2" x14ac:dyDescent="0.25">
      <c r="G196" s="22"/>
      <c r="H196" s="56"/>
    </row>
    <row r="197" spans="7:8" ht="13.2" x14ac:dyDescent="0.25">
      <c r="G197" s="22"/>
      <c r="H197" s="56"/>
    </row>
    <row r="198" spans="7:8" ht="13.2" x14ac:dyDescent="0.25">
      <c r="G198" s="22"/>
      <c r="H198" s="56"/>
    </row>
    <row r="199" spans="7:8" ht="13.2" x14ac:dyDescent="0.25">
      <c r="G199" s="22"/>
      <c r="H199" s="56"/>
    </row>
    <row r="200" spans="7:8" ht="13.2" x14ac:dyDescent="0.25">
      <c r="G200" s="22"/>
      <c r="H200" s="56"/>
    </row>
    <row r="201" spans="7:8" ht="13.2" x14ac:dyDescent="0.25">
      <c r="G201" s="22"/>
      <c r="H201" s="56"/>
    </row>
    <row r="202" spans="7:8" ht="13.2" x14ac:dyDescent="0.25">
      <c r="G202" s="22"/>
      <c r="H202" s="56"/>
    </row>
    <row r="203" spans="7:8" ht="13.2" x14ac:dyDescent="0.25">
      <c r="G203" s="22"/>
      <c r="H203" s="56"/>
    </row>
    <row r="204" spans="7:8" ht="13.2" x14ac:dyDescent="0.25">
      <c r="G204" s="22"/>
      <c r="H204" s="56"/>
    </row>
    <row r="205" spans="7:8" ht="13.2" x14ac:dyDescent="0.25">
      <c r="G205" s="22"/>
      <c r="H205" s="56"/>
    </row>
    <row r="206" spans="7:8" ht="13.2" x14ac:dyDescent="0.25">
      <c r="G206" s="22"/>
      <c r="H206" s="56"/>
    </row>
    <row r="207" spans="7:8" ht="13.2" x14ac:dyDescent="0.25">
      <c r="G207" s="22"/>
      <c r="H207" s="56"/>
    </row>
    <row r="208" spans="7:8" ht="13.2" x14ac:dyDescent="0.25">
      <c r="G208" s="22"/>
      <c r="H208" s="56"/>
    </row>
    <row r="209" spans="7:8" ht="13.2" x14ac:dyDescent="0.25">
      <c r="G209" s="22"/>
      <c r="H209" s="56"/>
    </row>
    <row r="210" spans="7:8" ht="13.2" x14ac:dyDescent="0.25">
      <c r="G210" s="22"/>
      <c r="H210" s="56"/>
    </row>
    <row r="211" spans="7:8" ht="13.2" x14ac:dyDescent="0.25">
      <c r="G211" s="22"/>
      <c r="H211" s="56"/>
    </row>
    <row r="212" spans="7:8" ht="13.2" x14ac:dyDescent="0.25">
      <c r="G212" s="22"/>
      <c r="H212" s="56"/>
    </row>
    <row r="213" spans="7:8" ht="13.2" x14ac:dyDescent="0.25">
      <c r="G213" s="22"/>
      <c r="H213" s="56"/>
    </row>
    <row r="214" spans="7:8" ht="13.2" x14ac:dyDescent="0.25">
      <c r="G214" s="22"/>
      <c r="H214" s="56"/>
    </row>
    <row r="215" spans="7:8" ht="13.2" x14ac:dyDescent="0.25">
      <c r="G215" s="22"/>
      <c r="H215" s="56"/>
    </row>
    <row r="216" spans="7:8" ht="13.2" x14ac:dyDescent="0.25">
      <c r="G216" s="22"/>
      <c r="H216" s="56"/>
    </row>
    <row r="217" spans="7:8" ht="13.2" x14ac:dyDescent="0.25">
      <c r="G217" s="22"/>
      <c r="H217" s="56"/>
    </row>
    <row r="218" spans="7:8" ht="13.2" x14ac:dyDescent="0.25">
      <c r="G218" s="22"/>
      <c r="H218" s="56"/>
    </row>
    <row r="219" spans="7:8" ht="13.2" x14ac:dyDescent="0.25">
      <c r="G219" s="22"/>
      <c r="H219" s="56"/>
    </row>
    <row r="220" spans="7:8" ht="13.2" x14ac:dyDescent="0.25">
      <c r="G220" s="22"/>
      <c r="H220" s="56"/>
    </row>
    <row r="221" spans="7:8" ht="13.2" x14ac:dyDescent="0.25">
      <c r="G221" s="22"/>
      <c r="H221" s="56"/>
    </row>
    <row r="222" spans="7:8" ht="13.2" x14ac:dyDescent="0.25">
      <c r="G222" s="22"/>
      <c r="H222" s="56"/>
    </row>
    <row r="223" spans="7:8" ht="13.2" x14ac:dyDescent="0.25">
      <c r="G223" s="22"/>
      <c r="H223" s="56"/>
    </row>
    <row r="224" spans="7:8" ht="13.2" x14ac:dyDescent="0.25">
      <c r="G224" s="22"/>
      <c r="H224" s="56"/>
    </row>
    <row r="225" spans="7:8" ht="13.2" x14ac:dyDescent="0.25">
      <c r="G225" s="22"/>
      <c r="H225" s="56"/>
    </row>
    <row r="226" spans="7:8" ht="13.2" x14ac:dyDescent="0.25">
      <c r="G226" s="22"/>
      <c r="H226" s="56"/>
    </row>
    <row r="227" spans="7:8" ht="13.2" x14ac:dyDescent="0.25">
      <c r="G227" s="22"/>
      <c r="H227" s="56"/>
    </row>
    <row r="228" spans="7:8" ht="13.2" x14ac:dyDescent="0.25">
      <c r="G228" s="22"/>
      <c r="H228" s="56"/>
    </row>
    <row r="229" spans="7:8" ht="13.2" x14ac:dyDescent="0.25">
      <c r="G229" s="22"/>
      <c r="H229" s="56"/>
    </row>
    <row r="230" spans="7:8" ht="13.2" x14ac:dyDescent="0.25">
      <c r="G230" s="22"/>
      <c r="H230" s="56"/>
    </row>
    <row r="231" spans="7:8" ht="13.2" x14ac:dyDescent="0.25">
      <c r="G231" s="22"/>
      <c r="H231" s="56"/>
    </row>
    <row r="232" spans="7:8" ht="13.2" x14ac:dyDescent="0.25">
      <c r="G232" s="22"/>
      <c r="H232" s="56"/>
    </row>
    <row r="233" spans="7:8" ht="13.2" x14ac:dyDescent="0.25">
      <c r="G233" s="22"/>
      <c r="H233" s="56"/>
    </row>
    <row r="234" spans="7:8" ht="13.2" x14ac:dyDescent="0.25">
      <c r="G234" s="22"/>
      <c r="H234" s="56"/>
    </row>
    <row r="235" spans="7:8" ht="13.2" x14ac:dyDescent="0.25">
      <c r="G235" s="22"/>
      <c r="H235" s="56"/>
    </row>
    <row r="236" spans="7:8" ht="13.2" x14ac:dyDescent="0.25">
      <c r="G236" s="22"/>
      <c r="H236" s="56"/>
    </row>
    <row r="237" spans="7:8" ht="13.2" x14ac:dyDescent="0.25">
      <c r="G237" s="22"/>
      <c r="H237" s="56"/>
    </row>
    <row r="238" spans="7:8" ht="13.2" x14ac:dyDescent="0.25">
      <c r="G238" s="22"/>
      <c r="H238" s="56"/>
    </row>
    <row r="239" spans="7:8" ht="13.2" x14ac:dyDescent="0.25">
      <c r="G239" s="22"/>
      <c r="H239" s="56"/>
    </row>
    <row r="240" spans="7:8" ht="13.2" x14ac:dyDescent="0.25">
      <c r="G240" s="22"/>
      <c r="H240" s="56"/>
    </row>
    <row r="241" spans="7:8" ht="13.2" x14ac:dyDescent="0.25">
      <c r="G241" s="22"/>
      <c r="H241" s="56"/>
    </row>
    <row r="242" spans="7:8" ht="13.2" x14ac:dyDescent="0.25">
      <c r="G242" s="22"/>
      <c r="H242" s="56"/>
    </row>
    <row r="243" spans="7:8" ht="13.2" x14ac:dyDescent="0.25">
      <c r="G243" s="22"/>
      <c r="H243" s="56"/>
    </row>
    <row r="244" spans="7:8" ht="13.2" x14ac:dyDescent="0.25">
      <c r="G244" s="22"/>
      <c r="H244" s="56"/>
    </row>
    <row r="245" spans="7:8" ht="13.2" x14ac:dyDescent="0.25">
      <c r="G245" s="22"/>
      <c r="H245" s="56"/>
    </row>
    <row r="246" spans="7:8" ht="13.2" x14ac:dyDescent="0.25">
      <c r="G246" s="22"/>
      <c r="H246" s="56"/>
    </row>
    <row r="247" spans="7:8" ht="13.2" x14ac:dyDescent="0.25">
      <c r="G247" s="22"/>
      <c r="H247" s="56"/>
    </row>
    <row r="248" spans="7:8" ht="13.2" x14ac:dyDescent="0.25">
      <c r="G248" s="22"/>
      <c r="H248" s="56"/>
    </row>
    <row r="249" spans="7:8" ht="13.2" x14ac:dyDescent="0.25">
      <c r="G249" s="22"/>
      <c r="H249" s="56"/>
    </row>
    <row r="250" spans="7:8" ht="13.2" x14ac:dyDescent="0.25">
      <c r="G250" s="22"/>
      <c r="H250" s="56"/>
    </row>
    <row r="251" spans="7:8" ht="13.2" x14ac:dyDescent="0.25">
      <c r="G251" s="22"/>
      <c r="H251" s="56"/>
    </row>
    <row r="252" spans="7:8" ht="13.2" x14ac:dyDescent="0.25">
      <c r="G252" s="22"/>
      <c r="H252" s="56"/>
    </row>
    <row r="253" spans="7:8" ht="13.2" x14ac:dyDescent="0.25">
      <c r="G253" s="22"/>
      <c r="H253" s="56"/>
    </row>
    <row r="254" spans="7:8" ht="13.2" x14ac:dyDescent="0.25">
      <c r="G254" s="22"/>
      <c r="H254" s="56"/>
    </row>
    <row r="255" spans="7:8" ht="13.2" x14ac:dyDescent="0.25">
      <c r="G255" s="22"/>
      <c r="H255" s="56"/>
    </row>
    <row r="256" spans="7:8" ht="13.2" x14ac:dyDescent="0.25">
      <c r="G256" s="22"/>
      <c r="H256" s="56"/>
    </row>
    <row r="257" spans="7:8" ht="13.2" x14ac:dyDescent="0.25">
      <c r="G257" s="22"/>
      <c r="H257" s="56"/>
    </row>
    <row r="258" spans="7:8" ht="13.2" x14ac:dyDescent="0.25">
      <c r="G258" s="22"/>
      <c r="H258" s="56"/>
    </row>
    <row r="259" spans="7:8" ht="13.2" x14ac:dyDescent="0.25">
      <c r="G259" s="22"/>
      <c r="H259" s="56"/>
    </row>
    <row r="260" spans="7:8" ht="13.2" x14ac:dyDescent="0.25">
      <c r="G260" s="22"/>
      <c r="H260" s="56"/>
    </row>
    <row r="261" spans="7:8" ht="13.2" x14ac:dyDescent="0.25">
      <c r="G261" s="22"/>
      <c r="H261" s="56"/>
    </row>
    <row r="262" spans="7:8" ht="13.2" x14ac:dyDescent="0.25">
      <c r="G262" s="22"/>
      <c r="H262" s="56"/>
    </row>
    <row r="263" spans="7:8" ht="13.2" x14ac:dyDescent="0.25">
      <c r="G263" s="22"/>
      <c r="H263" s="56"/>
    </row>
    <row r="264" spans="7:8" ht="13.2" x14ac:dyDescent="0.25">
      <c r="G264" s="22"/>
      <c r="H264" s="56"/>
    </row>
    <row r="265" spans="7:8" ht="13.2" x14ac:dyDescent="0.25">
      <c r="G265" s="22"/>
      <c r="H265" s="56"/>
    </row>
    <row r="266" spans="7:8" ht="13.2" x14ac:dyDescent="0.25">
      <c r="G266" s="22"/>
      <c r="H266" s="56"/>
    </row>
    <row r="267" spans="7:8" ht="13.2" x14ac:dyDescent="0.25">
      <c r="G267" s="22"/>
      <c r="H267" s="56"/>
    </row>
    <row r="268" spans="7:8" ht="13.2" x14ac:dyDescent="0.25">
      <c r="G268" s="22"/>
      <c r="H268" s="56"/>
    </row>
    <row r="269" spans="7:8" ht="13.2" x14ac:dyDescent="0.25">
      <c r="G269" s="22"/>
      <c r="H269" s="56"/>
    </row>
    <row r="270" spans="7:8" ht="13.2" x14ac:dyDescent="0.25">
      <c r="G270" s="22"/>
      <c r="H270" s="56"/>
    </row>
    <row r="271" spans="7:8" ht="13.2" x14ac:dyDescent="0.25">
      <c r="G271" s="22"/>
      <c r="H271" s="56"/>
    </row>
    <row r="272" spans="7:8" ht="13.2" x14ac:dyDescent="0.25">
      <c r="G272" s="22"/>
      <c r="H272" s="56"/>
    </row>
    <row r="273" spans="7:8" ht="13.2" x14ac:dyDescent="0.25">
      <c r="G273" s="22"/>
      <c r="H273" s="56"/>
    </row>
    <row r="274" spans="7:8" ht="13.2" x14ac:dyDescent="0.25">
      <c r="G274" s="22"/>
      <c r="H274" s="56"/>
    </row>
    <row r="275" spans="7:8" ht="13.2" x14ac:dyDescent="0.25">
      <c r="G275" s="22"/>
      <c r="H275" s="56"/>
    </row>
    <row r="276" spans="7:8" ht="13.2" x14ac:dyDescent="0.25">
      <c r="G276" s="22"/>
      <c r="H276" s="56"/>
    </row>
    <row r="277" spans="7:8" ht="13.2" x14ac:dyDescent="0.25">
      <c r="G277" s="22"/>
      <c r="H277" s="56"/>
    </row>
    <row r="278" spans="7:8" ht="13.2" x14ac:dyDescent="0.25">
      <c r="G278" s="22"/>
      <c r="H278" s="56"/>
    </row>
    <row r="279" spans="7:8" ht="13.2" x14ac:dyDescent="0.25">
      <c r="G279" s="22"/>
      <c r="H279" s="56"/>
    </row>
    <row r="280" spans="7:8" ht="13.2" x14ac:dyDescent="0.25">
      <c r="G280" s="22"/>
      <c r="H280" s="56"/>
    </row>
    <row r="281" spans="7:8" ht="13.2" x14ac:dyDescent="0.25">
      <c r="G281" s="22"/>
      <c r="H281" s="56"/>
    </row>
    <row r="282" spans="7:8" ht="13.2" x14ac:dyDescent="0.25">
      <c r="G282" s="22"/>
      <c r="H282" s="56"/>
    </row>
    <row r="283" spans="7:8" ht="13.2" x14ac:dyDescent="0.25">
      <c r="G283" s="22"/>
      <c r="H283" s="56"/>
    </row>
    <row r="284" spans="7:8" ht="13.2" x14ac:dyDescent="0.25">
      <c r="G284" s="22"/>
      <c r="H284" s="56"/>
    </row>
    <row r="285" spans="7:8" ht="13.2" x14ac:dyDescent="0.25">
      <c r="G285" s="22"/>
      <c r="H285" s="56"/>
    </row>
    <row r="286" spans="7:8" ht="13.2" x14ac:dyDescent="0.25">
      <c r="G286" s="22"/>
      <c r="H286" s="56"/>
    </row>
    <row r="287" spans="7:8" ht="13.2" x14ac:dyDescent="0.25">
      <c r="G287" s="22"/>
      <c r="H287" s="56"/>
    </row>
    <row r="288" spans="7:8" ht="13.2" x14ac:dyDescent="0.25">
      <c r="G288" s="22"/>
      <c r="H288" s="56"/>
    </row>
    <row r="289" spans="7:8" ht="13.2" x14ac:dyDescent="0.25">
      <c r="G289" s="22"/>
      <c r="H289" s="56"/>
    </row>
    <row r="290" spans="7:8" ht="13.2" x14ac:dyDescent="0.25">
      <c r="G290" s="22"/>
      <c r="H290" s="56"/>
    </row>
    <row r="291" spans="7:8" ht="13.2" x14ac:dyDescent="0.25">
      <c r="G291" s="22"/>
      <c r="H291" s="56"/>
    </row>
    <row r="292" spans="7:8" ht="13.2" x14ac:dyDescent="0.25">
      <c r="G292" s="22"/>
      <c r="H292" s="56"/>
    </row>
    <row r="293" spans="7:8" ht="13.2" x14ac:dyDescent="0.25">
      <c r="G293" s="22"/>
      <c r="H293" s="56"/>
    </row>
    <row r="294" spans="7:8" ht="13.2" x14ac:dyDescent="0.25">
      <c r="G294" s="22"/>
      <c r="H294" s="56"/>
    </row>
    <row r="295" spans="7:8" ht="13.2" x14ac:dyDescent="0.25">
      <c r="G295" s="22"/>
      <c r="H295" s="56"/>
    </row>
    <row r="296" spans="7:8" ht="13.2" x14ac:dyDescent="0.25">
      <c r="G296" s="22"/>
      <c r="H296" s="56"/>
    </row>
    <row r="297" spans="7:8" ht="13.2" x14ac:dyDescent="0.25">
      <c r="G297" s="22"/>
      <c r="H297" s="56"/>
    </row>
    <row r="298" spans="7:8" ht="13.2" x14ac:dyDescent="0.25">
      <c r="G298" s="22"/>
      <c r="H298" s="56"/>
    </row>
    <row r="299" spans="7:8" ht="13.2" x14ac:dyDescent="0.25">
      <c r="G299" s="22"/>
      <c r="H299" s="56"/>
    </row>
    <row r="300" spans="7:8" ht="13.2" x14ac:dyDescent="0.25">
      <c r="G300" s="22"/>
      <c r="H300" s="56"/>
    </row>
    <row r="301" spans="7:8" ht="13.2" x14ac:dyDescent="0.25">
      <c r="G301" s="22"/>
      <c r="H301" s="56"/>
    </row>
    <row r="302" spans="7:8" ht="13.2" x14ac:dyDescent="0.25">
      <c r="G302" s="22"/>
      <c r="H302" s="56"/>
    </row>
    <row r="303" spans="7:8" ht="13.2" x14ac:dyDescent="0.25">
      <c r="G303" s="22"/>
      <c r="H303" s="56"/>
    </row>
    <row r="304" spans="7:8" ht="13.2" x14ac:dyDescent="0.25">
      <c r="G304" s="22"/>
      <c r="H304" s="56"/>
    </row>
    <row r="305" spans="7:8" ht="13.2" x14ac:dyDescent="0.25">
      <c r="G305" s="22"/>
      <c r="H305" s="56"/>
    </row>
    <row r="306" spans="7:8" ht="13.2" x14ac:dyDescent="0.25">
      <c r="G306" s="22"/>
      <c r="H306" s="56"/>
    </row>
    <row r="307" spans="7:8" ht="13.2" x14ac:dyDescent="0.25">
      <c r="G307" s="22"/>
      <c r="H307" s="56"/>
    </row>
    <row r="308" spans="7:8" ht="13.2" x14ac:dyDescent="0.25">
      <c r="G308" s="22"/>
      <c r="H308" s="56"/>
    </row>
    <row r="309" spans="7:8" ht="13.2" x14ac:dyDescent="0.25">
      <c r="G309" s="22"/>
      <c r="H309" s="56"/>
    </row>
    <row r="310" spans="7:8" ht="13.2" x14ac:dyDescent="0.25">
      <c r="G310" s="22"/>
      <c r="H310" s="56"/>
    </row>
    <row r="311" spans="7:8" ht="13.2" x14ac:dyDescent="0.25">
      <c r="G311" s="22"/>
      <c r="H311" s="56"/>
    </row>
    <row r="312" spans="7:8" ht="13.2" x14ac:dyDescent="0.25">
      <c r="G312" s="22"/>
      <c r="H312" s="56"/>
    </row>
    <row r="313" spans="7:8" ht="13.2" x14ac:dyDescent="0.25">
      <c r="G313" s="22"/>
      <c r="H313" s="56"/>
    </row>
    <row r="314" spans="7:8" ht="13.2" x14ac:dyDescent="0.25">
      <c r="G314" s="22"/>
      <c r="H314" s="56"/>
    </row>
    <row r="315" spans="7:8" ht="13.2" x14ac:dyDescent="0.25">
      <c r="G315" s="22"/>
      <c r="H315" s="56"/>
    </row>
    <row r="316" spans="7:8" ht="13.2" x14ac:dyDescent="0.25">
      <c r="G316" s="22"/>
      <c r="H316" s="56"/>
    </row>
    <row r="317" spans="7:8" ht="13.2" x14ac:dyDescent="0.25">
      <c r="G317" s="22"/>
      <c r="H317" s="56"/>
    </row>
    <row r="318" spans="7:8" ht="13.2" x14ac:dyDescent="0.25">
      <c r="G318" s="22"/>
      <c r="H318" s="56"/>
    </row>
    <row r="319" spans="7:8" ht="13.2" x14ac:dyDescent="0.25">
      <c r="G319" s="22"/>
      <c r="H319" s="56"/>
    </row>
    <row r="320" spans="7:8" ht="13.2" x14ac:dyDescent="0.25">
      <c r="G320" s="22"/>
      <c r="H320" s="56"/>
    </row>
    <row r="321" spans="7:8" ht="13.2" x14ac:dyDescent="0.25">
      <c r="G321" s="22"/>
      <c r="H321" s="56"/>
    </row>
    <row r="322" spans="7:8" ht="13.2" x14ac:dyDescent="0.25">
      <c r="G322" s="22"/>
      <c r="H322" s="56"/>
    </row>
    <row r="323" spans="7:8" ht="13.2" x14ac:dyDescent="0.25">
      <c r="G323" s="22"/>
      <c r="H323" s="56"/>
    </row>
    <row r="324" spans="7:8" ht="13.2" x14ac:dyDescent="0.25">
      <c r="G324" s="22"/>
      <c r="H324" s="56"/>
    </row>
    <row r="325" spans="7:8" ht="13.2" x14ac:dyDescent="0.25">
      <c r="G325" s="22"/>
      <c r="H325" s="56"/>
    </row>
    <row r="326" spans="7:8" ht="13.2" x14ac:dyDescent="0.25">
      <c r="G326" s="22"/>
      <c r="H326" s="56"/>
    </row>
    <row r="327" spans="7:8" ht="13.2" x14ac:dyDescent="0.25">
      <c r="G327" s="22"/>
      <c r="H327" s="56"/>
    </row>
    <row r="328" spans="7:8" ht="13.2" x14ac:dyDescent="0.25">
      <c r="G328" s="22"/>
      <c r="H328" s="56"/>
    </row>
    <row r="329" spans="7:8" ht="13.2" x14ac:dyDescent="0.25">
      <c r="G329" s="22"/>
      <c r="H329" s="56"/>
    </row>
    <row r="330" spans="7:8" ht="13.2" x14ac:dyDescent="0.25">
      <c r="G330" s="22"/>
      <c r="H330" s="56"/>
    </row>
    <row r="331" spans="7:8" ht="13.2" x14ac:dyDescent="0.25">
      <c r="G331" s="22"/>
      <c r="H331" s="56"/>
    </row>
    <row r="332" spans="7:8" ht="13.2" x14ac:dyDescent="0.25">
      <c r="G332" s="22"/>
      <c r="H332" s="56"/>
    </row>
    <row r="333" spans="7:8" ht="13.2" x14ac:dyDescent="0.25">
      <c r="G333" s="22"/>
      <c r="H333" s="56"/>
    </row>
    <row r="334" spans="7:8" ht="13.2" x14ac:dyDescent="0.25">
      <c r="G334" s="22"/>
      <c r="H334" s="56"/>
    </row>
    <row r="335" spans="7:8" ht="13.2" x14ac:dyDescent="0.25">
      <c r="G335" s="22"/>
      <c r="H335" s="56"/>
    </row>
    <row r="336" spans="7:8" ht="13.2" x14ac:dyDescent="0.25">
      <c r="G336" s="22"/>
      <c r="H336" s="56"/>
    </row>
    <row r="337" spans="7:8" ht="13.2" x14ac:dyDescent="0.25">
      <c r="G337" s="22"/>
      <c r="H337" s="56"/>
    </row>
    <row r="338" spans="7:8" ht="13.2" x14ac:dyDescent="0.25">
      <c r="G338" s="22"/>
      <c r="H338" s="56"/>
    </row>
    <row r="339" spans="7:8" ht="13.2" x14ac:dyDescent="0.25">
      <c r="G339" s="22"/>
      <c r="H339" s="56"/>
    </row>
    <row r="340" spans="7:8" ht="13.2" x14ac:dyDescent="0.25">
      <c r="G340" s="22"/>
      <c r="H340" s="56"/>
    </row>
    <row r="341" spans="7:8" ht="13.2" x14ac:dyDescent="0.25">
      <c r="G341" s="22"/>
      <c r="H341" s="56"/>
    </row>
    <row r="342" spans="7:8" ht="13.2" x14ac:dyDescent="0.25">
      <c r="G342" s="22"/>
      <c r="H342" s="56"/>
    </row>
    <row r="343" spans="7:8" ht="13.2" x14ac:dyDescent="0.25">
      <c r="G343" s="22"/>
      <c r="H343" s="56"/>
    </row>
    <row r="344" spans="7:8" ht="13.2" x14ac:dyDescent="0.25">
      <c r="G344" s="22"/>
      <c r="H344" s="56"/>
    </row>
    <row r="345" spans="7:8" ht="13.2" x14ac:dyDescent="0.25">
      <c r="G345" s="22"/>
      <c r="H345" s="56"/>
    </row>
    <row r="346" spans="7:8" ht="13.2" x14ac:dyDescent="0.25">
      <c r="G346" s="22"/>
      <c r="H346" s="56"/>
    </row>
    <row r="347" spans="7:8" ht="13.2" x14ac:dyDescent="0.25">
      <c r="G347" s="22"/>
      <c r="H347" s="56"/>
    </row>
    <row r="348" spans="7:8" ht="13.2" x14ac:dyDescent="0.25">
      <c r="G348" s="22"/>
      <c r="H348" s="56"/>
    </row>
    <row r="349" spans="7:8" ht="13.2" x14ac:dyDescent="0.25">
      <c r="G349" s="22"/>
      <c r="H349" s="56"/>
    </row>
    <row r="350" spans="7:8" ht="13.2" x14ac:dyDescent="0.25">
      <c r="G350" s="22"/>
      <c r="H350" s="56"/>
    </row>
    <row r="351" spans="7:8" ht="13.2" x14ac:dyDescent="0.25">
      <c r="G351" s="22"/>
      <c r="H351" s="56"/>
    </row>
    <row r="352" spans="7:8" ht="13.2" x14ac:dyDescent="0.25">
      <c r="G352" s="22"/>
      <c r="H352" s="56"/>
    </row>
    <row r="353" spans="7:8" ht="13.2" x14ac:dyDescent="0.25">
      <c r="G353" s="22"/>
      <c r="H353" s="56"/>
    </row>
    <row r="354" spans="7:8" ht="13.2" x14ac:dyDescent="0.25">
      <c r="G354" s="22"/>
      <c r="H354" s="56"/>
    </row>
    <row r="355" spans="7:8" ht="13.2" x14ac:dyDescent="0.25">
      <c r="G355" s="22"/>
      <c r="H355" s="56"/>
    </row>
    <row r="356" spans="7:8" ht="13.2" x14ac:dyDescent="0.25">
      <c r="G356" s="22"/>
      <c r="H356" s="56"/>
    </row>
    <row r="357" spans="7:8" ht="13.2" x14ac:dyDescent="0.25">
      <c r="G357" s="22"/>
      <c r="H357" s="56"/>
    </row>
    <row r="358" spans="7:8" ht="13.2" x14ac:dyDescent="0.25">
      <c r="G358" s="22"/>
      <c r="H358" s="56"/>
    </row>
    <row r="359" spans="7:8" ht="13.2" x14ac:dyDescent="0.25">
      <c r="G359" s="22"/>
      <c r="H359" s="56"/>
    </row>
    <row r="360" spans="7:8" ht="13.2" x14ac:dyDescent="0.25">
      <c r="G360" s="22"/>
      <c r="H360" s="56"/>
    </row>
    <row r="361" spans="7:8" ht="13.2" x14ac:dyDescent="0.25">
      <c r="G361" s="22"/>
      <c r="H361" s="56"/>
    </row>
    <row r="362" spans="7:8" ht="13.2" x14ac:dyDescent="0.25">
      <c r="G362" s="22"/>
      <c r="H362" s="56"/>
    </row>
    <row r="363" spans="7:8" ht="13.2" x14ac:dyDescent="0.25">
      <c r="G363" s="22"/>
      <c r="H363" s="56"/>
    </row>
    <row r="364" spans="7:8" ht="13.2" x14ac:dyDescent="0.25">
      <c r="G364" s="22"/>
      <c r="H364" s="56"/>
    </row>
    <row r="365" spans="7:8" ht="13.2" x14ac:dyDescent="0.25">
      <c r="G365" s="22"/>
      <c r="H365" s="56"/>
    </row>
    <row r="366" spans="7:8" ht="13.2" x14ac:dyDescent="0.25">
      <c r="G366" s="22"/>
      <c r="H366" s="56"/>
    </row>
    <row r="367" spans="7:8" ht="13.2" x14ac:dyDescent="0.25">
      <c r="G367" s="22"/>
      <c r="H367" s="56"/>
    </row>
    <row r="368" spans="7:8" ht="13.2" x14ac:dyDescent="0.25">
      <c r="G368" s="22"/>
      <c r="H368" s="56"/>
    </row>
    <row r="369" spans="7:8" ht="13.2" x14ac:dyDescent="0.25">
      <c r="G369" s="22"/>
      <c r="H369" s="56"/>
    </row>
    <row r="370" spans="7:8" ht="13.2" x14ac:dyDescent="0.25">
      <c r="G370" s="22"/>
      <c r="H370" s="56"/>
    </row>
    <row r="371" spans="7:8" ht="13.2" x14ac:dyDescent="0.25">
      <c r="G371" s="22"/>
      <c r="H371" s="56"/>
    </row>
    <row r="372" spans="7:8" ht="13.2" x14ac:dyDescent="0.25">
      <c r="G372" s="22"/>
      <c r="H372" s="56"/>
    </row>
    <row r="373" spans="7:8" ht="13.2" x14ac:dyDescent="0.25">
      <c r="G373" s="22"/>
      <c r="H373" s="56"/>
    </row>
    <row r="374" spans="7:8" ht="13.2" x14ac:dyDescent="0.25">
      <c r="G374" s="22"/>
      <c r="H374" s="56"/>
    </row>
    <row r="375" spans="7:8" ht="13.2" x14ac:dyDescent="0.25">
      <c r="G375" s="22"/>
      <c r="H375" s="56"/>
    </row>
    <row r="376" spans="7:8" ht="13.2" x14ac:dyDescent="0.25">
      <c r="G376" s="22"/>
      <c r="H376" s="56"/>
    </row>
    <row r="377" spans="7:8" ht="13.2" x14ac:dyDescent="0.25">
      <c r="G377" s="22"/>
      <c r="H377" s="56"/>
    </row>
    <row r="378" spans="7:8" ht="13.2" x14ac:dyDescent="0.25">
      <c r="G378" s="22"/>
      <c r="H378" s="56"/>
    </row>
    <row r="379" spans="7:8" ht="13.2" x14ac:dyDescent="0.25">
      <c r="G379" s="22"/>
      <c r="H379" s="56"/>
    </row>
    <row r="380" spans="7:8" ht="13.2" x14ac:dyDescent="0.25">
      <c r="G380" s="22"/>
      <c r="H380" s="56"/>
    </row>
    <row r="381" spans="7:8" ht="13.2" x14ac:dyDescent="0.25">
      <c r="G381" s="22"/>
      <c r="H381" s="56"/>
    </row>
    <row r="382" spans="7:8" ht="13.2" x14ac:dyDescent="0.25">
      <c r="G382" s="22"/>
      <c r="H382" s="56"/>
    </row>
    <row r="383" spans="7:8" ht="13.2" x14ac:dyDescent="0.25">
      <c r="G383" s="22"/>
      <c r="H383" s="56"/>
    </row>
    <row r="384" spans="7:8" ht="13.2" x14ac:dyDescent="0.25">
      <c r="G384" s="22"/>
      <c r="H384" s="56"/>
    </row>
    <row r="385" spans="7:8" ht="13.2" x14ac:dyDescent="0.25">
      <c r="G385" s="22"/>
      <c r="H385" s="56"/>
    </row>
    <row r="386" spans="7:8" ht="13.2" x14ac:dyDescent="0.25">
      <c r="G386" s="22"/>
      <c r="H386" s="56"/>
    </row>
    <row r="387" spans="7:8" ht="13.2" x14ac:dyDescent="0.25">
      <c r="G387" s="22"/>
      <c r="H387" s="56"/>
    </row>
    <row r="388" spans="7:8" ht="13.2" x14ac:dyDescent="0.25">
      <c r="G388" s="22"/>
      <c r="H388" s="56"/>
    </row>
    <row r="389" spans="7:8" ht="13.2" x14ac:dyDescent="0.25">
      <c r="G389" s="22"/>
      <c r="H389" s="56"/>
    </row>
    <row r="390" spans="7:8" ht="13.2" x14ac:dyDescent="0.25">
      <c r="G390" s="22"/>
      <c r="H390" s="56"/>
    </row>
    <row r="391" spans="7:8" ht="13.2" x14ac:dyDescent="0.25">
      <c r="G391" s="22"/>
      <c r="H391" s="56"/>
    </row>
    <row r="392" spans="7:8" ht="13.2" x14ac:dyDescent="0.25">
      <c r="G392" s="22"/>
      <c r="H392" s="56"/>
    </row>
    <row r="393" spans="7:8" ht="13.2" x14ac:dyDescent="0.25">
      <c r="G393" s="22"/>
      <c r="H393" s="56"/>
    </row>
    <row r="394" spans="7:8" ht="13.2" x14ac:dyDescent="0.25">
      <c r="G394" s="22"/>
      <c r="H394" s="56"/>
    </row>
    <row r="395" spans="7:8" ht="13.2" x14ac:dyDescent="0.25">
      <c r="G395" s="22"/>
      <c r="H395" s="56"/>
    </row>
    <row r="396" spans="7:8" ht="13.2" x14ac:dyDescent="0.25">
      <c r="G396" s="22"/>
      <c r="H396" s="56"/>
    </row>
    <row r="397" spans="7:8" ht="13.2" x14ac:dyDescent="0.25">
      <c r="G397" s="22"/>
      <c r="H397" s="56"/>
    </row>
    <row r="398" spans="7:8" ht="13.2" x14ac:dyDescent="0.25">
      <c r="G398" s="22"/>
      <c r="H398" s="56"/>
    </row>
    <row r="399" spans="7:8" ht="13.2" x14ac:dyDescent="0.25">
      <c r="G399" s="22"/>
      <c r="H399" s="56"/>
    </row>
    <row r="400" spans="7:8" ht="13.2" x14ac:dyDescent="0.25">
      <c r="G400" s="22"/>
      <c r="H400" s="56"/>
    </row>
    <row r="401" spans="7:8" ht="13.2" x14ac:dyDescent="0.25">
      <c r="G401" s="22"/>
      <c r="H401" s="56"/>
    </row>
    <row r="402" spans="7:8" ht="13.2" x14ac:dyDescent="0.25">
      <c r="G402" s="22"/>
      <c r="H402" s="56"/>
    </row>
    <row r="403" spans="7:8" ht="13.2" x14ac:dyDescent="0.25">
      <c r="G403" s="22"/>
      <c r="H403" s="56"/>
    </row>
    <row r="404" spans="7:8" ht="13.2" x14ac:dyDescent="0.25">
      <c r="G404" s="22"/>
      <c r="H404" s="56"/>
    </row>
    <row r="405" spans="7:8" ht="13.2" x14ac:dyDescent="0.25">
      <c r="G405" s="22"/>
      <c r="H405" s="56"/>
    </row>
    <row r="406" spans="7:8" ht="13.2" x14ac:dyDescent="0.25">
      <c r="G406" s="22"/>
      <c r="H406" s="56"/>
    </row>
    <row r="407" spans="7:8" ht="13.2" x14ac:dyDescent="0.25">
      <c r="G407" s="22"/>
      <c r="H407" s="56"/>
    </row>
    <row r="408" spans="7:8" ht="13.2" x14ac:dyDescent="0.25">
      <c r="G408" s="22"/>
      <c r="H408" s="56"/>
    </row>
    <row r="409" spans="7:8" ht="13.2" x14ac:dyDescent="0.25">
      <c r="G409" s="22"/>
      <c r="H409" s="56"/>
    </row>
    <row r="410" spans="7:8" ht="13.2" x14ac:dyDescent="0.25">
      <c r="G410" s="22"/>
      <c r="H410" s="56"/>
    </row>
    <row r="411" spans="7:8" ht="13.2" x14ac:dyDescent="0.25">
      <c r="G411" s="22"/>
      <c r="H411" s="56"/>
    </row>
    <row r="412" spans="7:8" ht="13.2" x14ac:dyDescent="0.25">
      <c r="G412" s="22"/>
      <c r="H412" s="56"/>
    </row>
    <row r="413" spans="7:8" ht="13.2" x14ac:dyDescent="0.25">
      <c r="G413" s="22"/>
      <c r="H413" s="56"/>
    </row>
    <row r="414" spans="7:8" ht="13.2" x14ac:dyDescent="0.25">
      <c r="G414" s="22"/>
      <c r="H414" s="56"/>
    </row>
    <row r="415" spans="7:8" ht="13.2" x14ac:dyDescent="0.25">
      <c r="G415" s="22"/>
      <c r="H415" s="56"/>
    </row>
    <row r="416" spans="7:8" ht="13.2" x14ac:dyDescent="0.25">
      <c r="G416" s="22"/>
      <c r="H416" s="56"/>
    </row>
    <row r="417" spans="7:8" ht="13.2" x14ac:dyDescent="0.25">
      <c r="G417" s="22"/>
      <c r="H417" s="56"/>
    </row>
    <row r="418" spans="7:8" ht="13.2" x14ac:dyDescent="0.25">
      <c r="G418" s="22"/>
      <c r="H418" s="56"/>
    </row>
    <row r="419" spans="7:8" ht="13.2" x14ac:dyDescent="0.25">
      <c r="G419" s="22"/>
      <c r="H419" s="56"/>
    </row>
    <row r="420" spans="7:8" ht="13.2" x14ac:dyDescent="0.25">
      <c r="G420" s="22"/>
      <c r="H420" s="56"/>
    </row>
    <row r="421" spans="7:8" ht="13.2" x14ac:dyDescent="0.25">
      <c r="G421" s="22"/>
      <c r="H421" s="56"/>
    </row>
    <row r="422" spans="7:8" ht="13.2" x14ac:dyDescent="0.25">
      <c r="G422" s="22"/>
      <c r="H422" s="56"/>
    </row>
    <row r="423" spans="7:8" ht="13.2" x14ac:dyDescent="0.25">
      <c r="G423" s="22"/>
      <c r="H423" s="56"/>
    </row>
    <row r="424" spans="7:8" ht="13.2" x14ac:dyDescent="0.25">
      <c r="G424" s="22"/>
      <c r="H424" s="56"/>
    </row>
    <row r="425" spans="7:8" ht="13.2" x14ac:dyDescent="0.25">
      <c r="G425" s="22"/>
      <c r="H425" s="56"/>
    </row>
    <row r="426" spans="7:8" ht="13.2" x14ac:dyDescent="0.25">
      <c r="G426" s="22"/>
      <c r="H426" s="56"/>
    </row>
    <row r="427" spans="7:8" ht="13.2" x14ac:dyDescent="0.25">
      <c r="G427" s="22"/>
      <c r="H427" s="56"/>
    </row>
    <row r="428" spans="7:8" ht="13.2" x14ac:dyDescent="0.25">
      <c r="G428" s="22"/>
      <c r="H428" s="56"/>
    </row>
    <row r="429" spans="7:8" ht="13.2" x14ac:dyDescent="0.25">
      <c r="G429" s="22"/>
      <c r="H429" s="56"/>
    </row>
    <row r="430" spans="7:8" ht="13.2" x14ac:dyDescent="0.25">
      <c r="G430" s="22"/>
      <c r="H430" s="56"/>
    </row>
    <row r="431" spans="7:8" ht="13.2" x14ac:dyDescent="0.25">
      <c r="G431" s="22"/>
      <c r="H431" s="56"/>
    </row>
    <row r="432" spans="7:8" ht="13.2" x14ac:dyDescent="0.25">
      <c r="G432" s="22"/>
      <c r="H432" s="56"/>
    </row>
    <row r="433" spans="7:8" ht="13.2" x14ac:dyDescent="0.25">
      <c r="G433" s="22"/>
      <c r="H433" s="56"/>
    </row>
    <row r="434" spans="7:8" ht="13.2" x14ac:dyDescent="0.25">
      <c r="G434" s="22"/>
      <c r="H434" s="56"/>
    </row>
    <row r="435" spans="7:8" ht="13.2" x14ac:dyDescent="0.25">
      <c r="G435" s="22"/>
      <c r="H435" s="56"/>
    </row>
    <row r="436" spans="7:8" ht="13.2" x14ac:dyDescent="0.25">
      <c r="G436" s="22"/>
      <c r="H436" s="56"/>
    </row>
    <row r="437" spans="7:8" ht="13.2" x14ac:dyDescent="0.25">
      <c r="G437" s="22"/>
      <c r="H437" s="56"/>
    </row>
    <row r="438" spans="7:8" ht="13.2" x14ac:dyDescent="0.25">
      <c r="G438" s="22"/>
      <c r="H438" s="56"/>
    </row>
    <row r="439" spans="7:8" ht="13.2" x14ac:dyDescent="0.25">
      <c r="G439" s="22"/>
      <c r="H439" s="56"/>
    </row>
    <row r="440" spans="7:8" ht="13.2" x14ac:dyDescent="0.25">
      <c r="G440" s="22"/>
      <c r="H440" s="56"/>
    </row>
    <row r="441" spans="7:8" ht="13.2" x14ac:dyDescent="0.25">
      <c r="G441" s="22"/>
      <c r="H441" s="56"/>
    </row>
    <row r="442" spans="7:8" ht="13.2" x14ac:dyDescent="0.25">
      <c r="G442" s="22"/>
      <c r="H442" s="56"/>
    </row>
    <row r="443" spans="7:8" ht="13.2" x14ac:dyDescent="0.25">
      <c r="G443" s="22"/>
      <c r="H443" s="56"/>
    </row>
    <row r="444" spans="7:8" ht="13.2" x14ac:dyDescent="0.25">
      <c r="G444" s="22"/>
      <c r="H444" s="56"/>
    </row>
    <row r="445" spans="7:8" ht="13.2" x14ac:dyDescent="0.25">
      <c r="G445" s="22"/>
      <c r="H445" s="56"/>
    </row>
    <row r="446" spans="7:8" ht="13.2" x14ac:dyDescent="0.25">
      <c r="G446" s="22"/>
      <c r="H446" s="56"/>
    </row>
    <row r="447" spans="7:8" ht="13.2" x14ac:dyDescent="0.25">
      <c r="G447" s="22"/>
      <c r="H447" s="56"/>
    </row>
    <row r="448" spans="7:8" ht="13.2" x14ac:dyDescent="0.25">
      <c r="G448" s="22"/>
      <c r="H448" s="56"/>
    </row>
    <row r="449" spans="7:8" ht="13.2" x14ac:dyDescent="0.25">
      <c r="G449" s="22"/>
      <c r="H449" s="56"/>
    </row>
    <row r="450" spans="7:8" ht="13.2" x14ac:dyDescent="0.25">
      <c r="G450" s="22"/>
      <c r="H450" s="56"/>
    </row>
    <row r="451" spans="7:8" ht="13.2" x14ac:dyDescent="0.25">
      <c r="G451" s="22"/>
      <c r="H451" s="56"/>
    </row>
    <row r="452" spans="7:8" ht="13.2" x14ac:dyDescent="0.25">
      <c r="G452" s="22"/>
      <c r="H452" s="56"/>
    </row>
    <row r="453" spans="7:8" ht="13.2" x14ac:dyDescent="0.25">
      <c r="G453" s="22"/>
      <c r="H453" s="56"/>
    </row>
    <row r="454" spans="7:8" ht="13.2" x14ac:dyDescent="0.25">
      <c r="G454" s="22"/>
      <c r="H454" s="56"/>
    </row>
    <row r="455" spans="7:8" ht="13.2" x14ac:dyDescent="0.25">
      <c r="G455" s="22"/>
      <c r="H455" s="56"/>
    </row>
    <row r="456" spans="7:8" ht="13.2" x14ac:dyDescent="0.25">
      <c r="G456" s="22"/>
      <c r="H456" s="56"/>
    </row>
    <row r="457" spans="7:8" ht="13.2" x14ac:dyDescent="0.25">
      <c r="G457" s="22"/>
      <c r="H457" s="56"/>
    </row>
    <row r="458" spans="7:8" ht="13.2" x14ac:dyDescent="0.25">
      <c r="G458" s="22"/>
      <c r="H458" s="56"/>
    </row>
    <row r="459" spans="7:8" ht="13.2" x14ac:dyDescent="0.25">
      <c r="G459" s="22"/>
      <c r="H459" s="56"/>
    </row>
    <row r="460" spans="7:8" ht="13.2" x14ac:dyDescent="0.25">
      <c r="G460" s="22"/>
      <c r="H460" s="56"/>
    </row>
    <row r="461" spans="7:8" ht="13.2" x14ac:dyDescent="0.25">
      <c r="G461" s="22"/>
      <c r="H461" s="56"/>
    </row>
    <row r="462" spans="7:8" ht="13.2" x14ac:dyDescent="0.25">
      <c r="G462" s="22"/>
      <c r="H462" s="56"/>
    </row>
    <row r="463" spans="7:8" ht="13.2" x14ac:dyDescent="0.25">
      <c r="G463" s="22"/>
      <c r="H463" s="56"/>
    </row>
    <row r="464" spans="7:8" ht="13.2" x14ac:dyDescent="0.25">
      <c r="G464" s="22"/>
      <c r="H464" s="56"/>
    </row>
    <row r="465" spans="7:8" ht="13.2" x14ac:dyDescent="0.25">
      <c r="G465" s="22"/>
      <c r="H465" s="56"/>
    </row>
    <row r="466" spans="7:8" ht="13.2" x14ac:dyDescent="0.25">
      <c r="G466" s="22"/>
      <c r="H466" s="56"/>
    </row>
    <row r="467" spans="7:8" ht="13.2" x14ac:dyDescent="0.25">
      <c r="G467" s="22"/>
      <c r="H467" s="56"/>
    </row>
    <row r="468" spans="7:8" ht="13.2" x14ac:dyDescent="0.25">
      <c r="G468" s="22"/>
      <c r="H468" s="56"/>
    </row>
    <row r="469" spans="7:8" ht="13.2" x14ac:dyDescent="0.25">
      <c r="G469" s="22"/>
      <c r="H469" s="56"/>
    </row>
    <row r="470" spans="7:8" ht="13.2" x14ac:dyDescent="0.25">
      <c r="G470" s="22"/>
      <c r="H470" s="56"/>
    </row>
    <row r="471" spans="7:8" ht="13.2" x14ac:dyDescent="0.25">
      <c r="G471" s="22"/>
      <c r="H471" s="56"/>
    </row>
    <row r="472" spans="7:8" ht="13.2" x14ac:dyDescent="0.25">
      <c r="G472" s="22"/>
      <c r="H472" s="56"/>
    </row>
    <row r="473" spans="7:8" ht="13.2" x14ac:dyDescent="0.25">
      <c r="G473" s="22"/>
      <c r="H473" s="56"/>
    </row>
    <row r="474" spans="7:8" ht="13.2" x14ac:dyDescent="0.25">
      <c r="G474" s="22"/>
      <c r="H474" s="56"/>
    </row>
    <row r="475" spans="7:8" ht="13.2" x14ac:dyDescent="0.25">
      <c r="G475" s="22"/>
      <c r="H475" s="56"/>
    </row>
    <row r="476" spans="7:8" ht="13.2" x14ac:dyDescent="0.25">
      <c r="G476" s="22"/>
      <c r="H476" s="56"/>
    </row>
    <row r="477" spans="7:8" ht="13.2" x14ac:dyDescent="0.25">
      <c r="G477" s="22"/>
      <c r="H477" s="56"/>
    </row>
    <row r="478" spans="7:8" ht="13.2" x14ac:dyDescent="0.25">
      <c r="G478" s="22"/>
      <c r="H478" s="56"/>
    </row>
    <row r="479" spans="7:8" ht="13.2" x14ac:dyDescent="0.25">
      <c r="G479" s="22"/>
      <c r="H479" s="56"/>
    </row>
    <row r="480" spans="7:8" ht="13.2" x14ac:dyDescent="0.25">
      <c r="G480" s="22"/>
      <c r="H480" s="56"/>
    </row>
    <row r="481" spans="7:8" ht="13.2" x14ac:dyDescent="0.25">
      <c r="G481" s="22"/>
      <c r="H481" s="56"/>
    </row>
    <row r="482" spans="7:8" ht="13.2" x14ac:dyDescent="0.25">
      <c r="G482" s="22"/>
      <c r="H482" s="56"/>
    </row>
    <row r="483" spans="7:8" ht="13.2" x14ac:dyDescent="0.25">
      <c r="G483" s="22"/>
      <c r="H483" s="56"/>
    </row>
    <row r="484" spans="7:8" ht="13.2" x14ac:dyDescent="0.25">
      <c r="G484" s="22"/>
      <c r="H484" s="56"/>
    </row>
    <row r="485" spans="7:8" ht="13.2" x14ac:dyDescent="0.25">
      <c r="G485" s="22"/>
      <c r="H485" s="56"/>
    </row>
    <row r="486" spans="7:8" ht="13.2" x14ac:dyDescent="0.25">
      <c r="G486" s="22"/>
      <c r="H486" s="56"/>
    </row>
    <row r="487" spans="7:8" ht="13.2" x14ac:dyDescent="0.25">
      <c r="G487" s="22"/>
      <c r="H487" s="56"/>
    </row>
    <row r="488" spans="7:8" ht="13.2" x14ac:dyDescent="0.25">
      <c r="G488" s="22"/>
      <c r="H488" s="56"/>
    </row>
    <row r="489" spans="7:8" ht="13.2" x14ac:dyDescent="0.25">
      <c r="G489" s="22"/>
      <c r="H489" s="56"/>
    </row>
    <row r="490" spans="7:8" ht="13.2" x14ac:dyDescent="0.25">
      <c r="G490" s="22"/>
      <c r="H490" s="56"/>
    </row>
    <row r="491" spans="7:8" ht="13.2" x14ac:dyDescent="0.25">
      <c r="G491" s="22"/>
      <c r="H491" s="56"/>
    </row>
    <row r="492" spans="7:8" ht="13.2" x14ac:dyDescent="0.25">
      <c r="G492" s="22"/>
      <c r="H492" s="56"/>
    </row>
    <row r="493" spans="7:8" ht="13.2" x14ac:dyDescent="0.25">
      <c r="G493" s="22"/>
      <c r="H493" s="56"/>
    </row>
    <row r="494" spans="7:8" ht="13.2" x14ac:dyDescent="0.25">
      <c r="G494" s="22"/>
      <c r="H494" s="56"/>
    </row>
    <row r="495" spans="7:8" ht="13.2" x14ac:dyDescent="0.25">
      <c r="G495" s="22"/>
      <c r="H495" s="56"/>
    </row>
    <row r="496" spans="7:8" ht="13.2" x14ac:dyDescent="0.25">
      <c r="G496" s="22"/>
      <c r="H496" s="56"/>
    </row>
    <row r="497" spans="7:8" ht="13.2" x14ac:dyDescent="0.25">
      <c r="G497" s="22"/>
      <c r="H497" s="56"/>
    </row>
    <row r="498" spans="7:8" ht="13.2" x14ac:dyDescent="0.25">
      <c r="G498" s="22"/>
      <c r="H498" s="56"/>
    </row>
    <row r="499" spans="7:8" ht="13.2" x14ac:dyDescent="0.25">
      <c r="G499" s="22"/>
      <c r="H499" s="56"/>
    </row>
    <row r="500" spans="7:8" ht="13.2" x14ac:dyDescent="0.25">
      <c r="G500" s="22"/>
      <c r="H500" s="56"/>
    </row>
    <row r="501" spans="7:8" ht="13.2" x14ac:dyDescent="0.25">
      <c r="G501" s="22"/>
      <c r="H501" s="56"/>
    </row>
    <row r="502" spans="7:8" ht="13.2" x14ac:dyDescent="0.25">
      <c r="G502" s="22"/>
      <c r="H502" s="56"/>
    </row>
    <row r="503" spans="7:8" ht="13.2" x14ac:dyDescent="0.25">
      <c r="G503" s="22"/>
      <c r="H503" s="56"/>
    </row>
    <row r="504" spans="7:8" ht="13.2" x14ac:dyDescent="0.25">
      <c r="G504" s="22"/>
      <c r="H504" s="56"/>
    </row>
    <row r="505" spans="7:8" ht="13.2" x14ac:dyDescent="0.25">
      <c r="G505" s="22"/>
      <c r="H505" s="56"/>
    </row>
    <row r="506" spans="7:8" ht="13.2" x14ac:dyDescent="0.25">
      <c r="G506" s="22"/>
      <c r="H506" s="56"/>
    </row>
    <row r="507" spans="7:8" ht="13.2" x14ac:dyDescent="0.25">
      <c r="G507" s="22"/>
      <c r="H507" s="56"/>
    </row>
    <row r="508" spans="7:8" ht="13.2" x14ac:dyDescent="0.25">
      <c r="G508" s="22"/>
      <c r="H508" s="56"/>
    </row>
    <row r="509" spans="7:8" ht="13.2" x14ac:dyDescent="0.25">
      <c r="G509" s="22"/>
      <c r="H509" s="56"/>
    </row>
    <row r="510" spans="7:8" ht="13.2" x14ac:dyDescent="0.25">
      <c r="G510" s="22"/>
      <c r="H510" s="56"/>
    </row>
    <row r="511" spans="7:8" ht="13.2" x14ac:dyDescent="0.25">
      <c r="G511" s="22"/>
      <c r="H511" s="56"/>
    </row>
    <row r="512" spans="7:8" ht="13.2" x14ac:dyDescent="0.25">
      <c r="G512" s="22"/>
      <c r="H512" s="56"/>
    </row>
    <row r="513" spans="7:8" ht="13.2" x14ac:dyDescent="0.25">
      <c r="G513" s="22"/>
      <c r="H513" s="56"/>
    </row>
    <row r="514" spans="7:8" ht="13.2" x14ac:dyDescent="0.25">
      <c r="G514" s="22"/>
      <c r="H514" s="56"/>
    </row>
    <row r="515" spans="7:8" ht="13.2" x14ac:dyDescent="0.25">
      <c r="G515" s="22"/>
      <c r="H515" s="56"/>
    </row>
    <row r="516" spans="7:8" ht="13.2" x14ac:dyDescent="0.25">
      <c r="G516" s="22"/>
      <c r="H516" s="56"/>
    </row>
    <row r="517" spans="7:8" ht="13.2" x14ac:dyDescent="0.25">
      <c r="G517" s="22"/>
      <c r="H517" s="56"/>
    </row>
    <row r="518" spans="7:8" ht="13.2" x14ac:dyDescent="0.25">
      <c r="G518" s="22"/>
      <c r="H518" s="56"/>
    </row>
    <row r="519" spans="7:8" ht="13.2" x14ac:dyDescent="0.25">
      <c r="G519" s="22"/>
      <c r="H519" s="56"/>
    </row>
    <row r="520" spans="7:8" ht="13.2" x14ac:dyDescent="0.25">
      <c r="G520" s="22"/>
      <c r="H520" s="56"/>
    </row>
    <row r="521" spans="7:8" ht="13.2" x14ac:dyDescent="0.25">
      <c r="G521" s="22"/>
      <c r="H521" s="56"/>
    </row>
    <row r="522" spans="7:8" ht="13.2" x14ac:dyDescent="0.25">
      <c r="G522" s="22"/>
      <c r="H522" s="56"/>
    </row>
    <row r="523" spans="7:8" ht="13.2" x14ac:dyDescent="0.25">
      <c r="G523" s="22"/>
      <c r="H523" s="56"/>
    </row>
    <row r="524" spans="7:8" ht="13.2" x14ac:dyDescent="0.25">
      <c r="G524" s="22"/>
      <c r="H524" s="56"/>
    </row>
    <row r="525" spans="7:8" ht="13.2" x14ac:dyDescent="0.25">
      <c r="G525" s="22"/>
      <c r="H525" s="56"/>
    </row>
    <row r="526" spans="7:8" ht="13.2" x14ac:dyDescent="0.25">
      <c r="G526" s="22"/>
      <c r="H526" s="56"/>
    </row>
    <row r="527" spans="7:8" ht="13.2" x14ac:dyDescent="0.25">
      <c r="G527" s="22"/>
      <c r="H527" s="56"/>
    </row>
    <row r="528" spans="7:8" ht="13.2" x14ac:dyDescent="0.25">
      <c r="G528" s="22"/>
      <c r="H528" s="56"/>
    </row>
    <row r="529" spans="7:8" ht="13.2" x14ac:dyDescent="0.25">
      <c r="G529" s="22"/>
      <c r="H529" s="56"/>
    </row>
    <row r="530" spans="7:8" ht="13.2" x14ac:dyDescent="0.25">
      <c r="G530" s="22"/>
      <c r="H530" s="56"/>
    </row>
    <row r="531" spans="7:8" ht="13.2" x14ac:dyDescent="0.25">
      <c r="G531" s="22"/>
      <c r="H531" s="56"/>
    </row>
    <row r="532" spans="7:8" ht="13.2" x14ac:dyDescent="0.25">
      <c r="G532" s="22"/>
      <c r="H532" s="56"/>
    </row>
    <row r="533" spans="7:8" ht="13.2" x14ac:dyDescent="0.25">
      <c r="G533" s="22"/>
      <c r="H533" s="56"/>
    </row>
    <row r="534" spans="7:8" ht="13.2" x14ac:dyDescent="0.25">
      <c r="G534" s="22"/>
      <c r="H534" s="56"/>
    </row>
    <row r="535" spans="7:8" ht="13.2" x14ac:dyDescent="0.25">
      <c r="G535" s="22"/>
      <c r="H535" s="56"/>
    </row>
    <row r="536" spans="7:8" ht="13.2" x14ac:dyDescent="0.25">
      <c r="G536" s="22"/>
      <c r="H536" s="56"/>
    </row>
    <row r="537" spans="7:8" ht="13.2" x14ac:dyDescent="0.25">
      <c r="G537" s="22"/>
      <c r="H537" s="56"/>
    </row>
    <row r="538" spans="7:8" ht="13.2" x14ac:dyDescent="0.25">
      <c r="G538" s="22"/>
      <c r="H538" s="56"/>
    </row>
    <row r="539" spans="7:8" ht="13.2" x14ac:dyDescent="0.25">
      <c r="G539" s="22"/>
      <c r="H539" s="56"/>
    </row>
    <row r="540" spans="7:8" ht="13.2" x14ac:dyDescent="0.25">
      <c r="G540" s="22"/>
      <c r="H540" s="56"/>
    </row>
    <row r="541" spans="7:8" ht="13.2" x14ac:dyDescent="0.25">
      <c r="G541" s="22"/>
      <c r="H541" s="56"/>
    </row>
    <row r="542" spans="7:8" ht="13.2" x14ac:dyDescent="0.25">
      <c r="G542" s="22"/>
      <c r="H542" s="56"/>
    </row>
    <row r="543" spans="7:8" ht="13.2" x14ac:dyDescent="0.25">
      <c r="G543" s="22"/>
      <c r="H543" s="56"/>
    </row>
    <row r="544" spans="7:8" ht="13.2" x14ac:dyDescent="0.25">
      <c r="G544" s="22"/>
      <c r="H544" s="56"/>
    </row>
    <row r="545" spans="7:8" ht="13.2" x14ac:dyDescent="0.25">
      <c r="G545" s="22"/>
      <c r="H545" s="56"/>
    </row>
    <row r="546" spans="7:8" ht="13.2" x14ac:dyDescent="0.25">
      <c r="G546" s="22"/>
      <c r="H546" s="56"/>
    </row>
    <row r="547" spans="7:8" ht="13.2" x14ac:dyDescent="0.25">
      <c r="G547" s="22"/>
      <c r="H547" s="56"/>
    </row>
    <row r="548" spans="7:8" ht="13.2" x14ac:dyDescent="0.25">
      <c r="G548" s="22"/>
      <c r="H548" s="56"/>
    </row>
    <row r="549" spans="7:8" ht="13.2" x14ac:dyDescent="0.25">
      <c r="G549" s="22"/>
      <c r="H549" s="56"/>
    </row>
    <row r="550" spans="7:8" ht="13.2" x14ac:dyDescent="0.25">
      <c r="G550" s="22"/>
      <c r="H550" s="56"/>
    </row>
    <row r="551" spans="7:8" ht="13.2" x14ac:dyDescent="0.25">
      <c r="G551" s="22"/>
      <c r="H551" s="56"/>
    </row>
    <row r="552" spans="7:8" ht="13.2" x14ac:dyDescent="0.25">
      <c r="G552" s="22"/>
      <c r="H552" s="56"/>
    </row>
    <row r="553" spans="7:8" ht="13.2" x14ac:dyDescent="0.25">
      <c r="G553" s="22"/>
      <c r="H553" s="56"/>
    </row>
    <row r="554" spans="7:8" ht="13.2" x14ac:dyDescent="0.25">
      <c r="G554" s="22"/>
      <c r="H554" s="56"/>
    </row>
    <row r="555" spans="7:8" ht="13.2" x14ac:dyDescent="0.25">
      <c r="G555" s="22"/>
      <c r="H555" s="56"/>
    </row>
    <row r="556" spans="7:8" ht="13.2" x14ac:dyDescent="0.25">
      <c r="G556" s="22"/>
      <c r="H556" s="56"/>
    </row>
    <row r="557" spans="7:8" ht="13.2" x14ac:dyDescent="0.25">
      <c r="G557" s="22"/>
      <c r="H557" s="56"/>
    </row>
    <row r="558" spans="7:8" ht="13.2" x14ac:dyDescent="0.25">
      <c r="G558" s="22"/>
      <c r="H558" s="56"/>
    </row>
    <row r="559" spans="7:8" ht="13.2" x14ac:dyDescent="0.25">
      <c r="G559" s="22"/>
      <c r="H559" s="56"/>
    </row>
    <row r="560" spans="7:8" ht="13.2" x14ac:dyDescent="0.25">
      <c r="G560" s="22"/>
      <c r="H560" s="56"/>
    </row>
    <row r="561" spans="7:8" ht="13.2" x14ac:dyDescent="0.25">
      <c r="G561" s="22"/>
      <c r="H561" s="56"/>
    </row>
    <row r="562" spans="7:8" ht="13.2" x14ac:dyDescent="0.25">
      <c r="G562" s="22"/>
      <c r="H562" s="56"/>
    </row>
    <row r="563" spans="7:8" ht="13.2" x14ac:dyDescent="0.25">
      <c r="G563" s="22"/>
      <c r="H563" s="56"/>
    </row>
    <row r="564" spans="7:8" ht="13.2" x14ac:dyDescent="0.25">
      <c r="G564" s="22"/>
      <c r="H564" s="56"/>
    </row>
    <row r="565" spans="7:8" ht="13.2" x14ac:dyDescent="0.25">
      <c r="G565" s="22"/>
      <c r="H565" s="56"/>
    </row>
    <row r="566" spans="7:8" ht="13.2" x14ac:dyDescent="0.25">
      <c r="G566" s="22"/>
      <c r="H566" s="56"/>
    </row>
    <row r="567" spans="7:8" ht="13.2" x14ac:dyDescent="0.25">
      <c r="G567" s="22"/>
      <c r="H567" s="56"/>
    </row>
    <row r="568" spans="7:8" ht="13.2" x14ac:dyDescent="0.25">
      <c r="G568" s="22"/>
      <c r="H568" s="56"/>
    </row>
    <row r="569" spans="7:8" ht="13.2" x14ac:dyDescent="0.25">
      <c r="G569" s="22"/>
      <c r="H569" s="56"/>
    </row>
    <row r="570" spans="7:8" ht="13.2" x14ac:dyDescent="0.25">
      <c r="G570" s="22"/>
      <c r="H570" s="56"/>
    </row>
    <row r="571" spans="7:8" ht="13.2" x14ac:dyDescent="0.25">
      <c r="G571" s="22"/>
      <c r="H571" s="56"/>
    </row>
    <row r="572" spans="7:8" ht="13.2" x14ac:dyDescent="0.25">
      <c r="G572" s="22"/>
      <c r="H572" s="56"/>
    </row>
    <row r="573" spans="7:8" ht="13.2" x14ac:dyDescent="0.25">
      <c r="G573" s="22"/>
      <c r="H573" s="56"/>
    </row>
    <row r="574" spans="7:8" ht="13.2" x14ac:dyDescent="0.25">
      <c r="G574" s="22"/>
      <c r="H574" s="56"/>
    </row>
    <row r="575" spans="7:8" ht="13.2" x14ac:dyDescent="0.25">
      <c r="G575" s="22"/>
      <c r="H575" s="56"/>
    </row>
    <row r="576" spans="7:8" ht="13.2" x14ac:dyDescent="0.25">
      <c r="G576" s="22"/>
      <c r="H576" s="56"/>
    </row>
    <row r="577" spans="7:8" ht="13.2" x14ac:dyDescent="0.25">
      <c r="G577" s="22"/>
      <c r="H577" s="56"/>
    </row>
    <row r="578" spans="7:8" ht="13.2" x14ac:dyDescent="0.25">
      <c r="G578" s="22"/>
      <c r="H578" s="56"/>
    </row>
    <row r="579" spans="7:8" ht="13.2" x14ac:dyDescent="0.25">
      <c r="G579" s="22"/>
      <c r="H579" s="56"/>
    </row>
    <row r="580" spans="7:8" ht="13.2" x14ac:dyDescent="0.25">
      <c r="G580" s="22"/>
      <c r="H580" s="56"/>
    </row>
    <row r="581" spans="7:8" ht="13.2" x14ac:dyDescent="0.25">
      <c r="G581" s="22"/>
      <c r="H581" s="56"/>
    </row>
    <row r="582" spans="7:8" ht="13.2" x14ac:dyDescent="0.25">
      <c r="G582" s="22"/>
      <c r="H582" s="56"/>
    </row>
    <row r="583" spans="7:8" ht="13.2" x14ac:dyDescent="0.25">
      <c r="G583" s="22"/>
      <c r="H583" s="56"/>
    </row>
    <row r="584" spans="7:8" ht="13.2" x14ac:dyDescent="0.25">
      <c r="G584" s="22"/>
      <c r="H584" s="56"/>
    </row>
    <row r="585" spans="7:8" ht="13.2" x14ac:dyDescent="0.25">
      <c r="G585" s="22"/>
      <c r="H585" s="56"/>
    </row>
    <row r="586" spans="7:8" ht="13.2" x14ac:dyDescent="0.25">
      <c r="G586" s="22"/>
      <c r="H586" s="56"/>
    </row>
    <row r="587" spans="7:8" ht="13.2" x14ac:dyDescent="0.25">
      <c r="G587" s="22"/>
      <c r="H587" s="56"/>
    </row>
    <row r="588" spans="7:8" ht="13.2" x14ac:dyDescent="0.25">
      <c r="G588" s="22"/>
      <c r="H588" s="56"/>
    </row>
    <row r="589" spans="7:8" ht="13.2" x14ac:dyDescent="0.25">
      <c r="G589" s="22"/>
      <c r="H589" s="56"/>
    </row>
    <row r="590" spans="7:8" ht="13.2" x14ac:dyDescent="0.25">
      <c r="G590" s="22"/>
      <c r="H590" s="56"/>
    </row>
    <row r="591" spans="7:8" ht="13.2" x14ac:dyDescent="0.25">
      <c r="G591" s="22"/>
      <c r="H591" s="56"/>
    </row>
    <row r="592" spans="7:8" ht="13.2" x14ac:dyDescent="0.25">
      <c r="G592" s="22"/>
      <c r="H592" s="56"/>
    </row>
    <row r="593" spans="7:8" ht="13.2" x14ac:dyDescent="0.25">
      <c r="G593" s="22"/>
      <c r="H593" s="56"/>
    </row>
    <row r="594" spans="7:8" ht="13.2" x14ac:dyDescent="0.25">
      <c r="G594" s="22"/>
      <c r="H594" s="56"/>
    </row>
    <row r="595" spans="7:8" ht="13.2" x14ac:dyDescent="0.25">
      <c r="G595" s="22"/>
      <c r="H595" s="56"/>
    </row>
    <row r="596" spans="7:8" ht="13.2" x14ac:dyDescent="0.25">
      <c r="G596" s="22"/>
      <c r="H596" s="56"/>
    </row>
    <row r="597" spans="7:8" ht="13.2" x14ac:dyDescent="0.25">
      <c r="G597" s="22"/>
      <c r="H597" s="56"/>
    </row>
    <row r="598" spans="7:8" ht="13.2" x14ac:dyDescent="0.25">
      <c r="G598" s="22"/>
      <c r="H598" s="56"/>
    </row>
    <row r="599" spans="7:8" ht="13.2" x14ac:dyDescent="0.25">
      <c r="G599" s="22"/>
      <c r="H599" s="56"/>
    </row>
    <row r="600" spans="7:8" ht="13.2" x14ac:dyDescent="0.25">
      <c r="G600" s="22"/>
      <c r="H600" s="56"/>
    </row>
    <row r="601" spans="7:8" ht="13.2" x14ac:dyDescent="0.25">
      <c r="G601" s="22"/>
      <c r="H601" s="56"/>
    </row>
    <row r="602" spans="7:8" ht="13.2" x14ac:dyDescent="0.25">
      <c r="G602" s="22"/>
      <c r="H602" s="56"/>
    </row>
    <row r="603" spans="7:8" ht="13.2" x14ac:dyDescent="0.25">
      <c r="G603" s="22"/>
      <c r="H603" s="56"/>
    </row>
    <row r="604" spans="7:8" ht="13.2" x14ac:dyDescent="0.25">
      <c r="G604" s="22"/>
      <c r="H604" s="56"/>
    </row>
    <row r="605" spans="7:8" ht="13.2" x14ac:dyDescent="0.25">
      <c r="G605" s="22"/>
      <c r="H605" s="56"/>
    </row>
    <row r="606" spans="7:8" ht="13.2" x14ac:dyDescent="0.25">
      <c r="G606" s="22"/>
      <c r="H606" s="56"/>
    </row>
    <row r="607" spans="7:8" ht="13.2" x14ac:dyDescent="0.25">
      <c r="G607" s="22"/>
      <c r="H607" s="56"/>
    </row>
    <row r="608" spans="7:8" ht="13.2" x14ac:dyDescent="0.25">
      <c r="G608" s="22"/>
      <c r="H608" s="56"/>
    </row>
    <row r="609" spans="7:8" ht="13.2" x14ac:dyDescent="0.25">
      <c r="G609" s="22"/>
      <c r="H609" s="56"/>
    </row>
    <row r="610" spans="7:8" ht="13.2" x14ac:dyDescent="0.25">
      <c r="G610" s="22"/>
      <c r="H610" s="56"/>
    </row>
    <row r="611" spans="7:8" ht="13.2" x14ac:dyDescent="0.25">
      <c r="G611" s="22"/>
      <c r="H611" s="56"/>
    </row>
    <row r="612" spans="7:8" ht="13.2" x14ac:dyDescent="0.25">
      <c r="G612" s="22"/>
      <c r="H612" s="56"/>
    </row>
    <row r="613" spans="7:8" ht="13.2" x14ac:dyDescent="0.25">
      <c r="G613" s="22"/>
      <c r="H613" s="56"/>
    </row>
    <row r="614" spans="7:8" ht="13.2" x14ac:dyDescent="0.25">
      <c r="G614" s="22"/>
      <c r="H614" s="56"/>
    </row>
    <row r="615" spans="7:8" ht="13.2" x14ac:dyDescent="0.25">
      <c r="G615" s="22"/>
      <c r="H615" s="56"/>
    </row>
    <row r="616" spans="7:8" ht="13.2" x14ac:dyDescent="0.25">
      <c r="G616" s="22"/>
      <c r="H616" s="56"/>
    </row>
    <row r="617" spans="7:8" ht="13.2" x14ac:dyDescent="0.25">
      <c r="G617" s="22"/>
      <c r="H617" s="56"/>
    </row>
    <row r="618" spans="7:8" ht="13.2" x14ac:dyDescent="0.25">
      <c r="G618" s="22"/>
      <c r="H618" s="56"/>
    </row>
    <row r="619" spans="7:8" ht="13.2" x14ac:dyDescent="0.25">
      <c r="G619" s="22"/>
      <c r="H619" s="56"/>
    </row>
    <row r="620" spans="7:8" ht="13.2" x14ac:dyDescent="0.25">
      <c r="G620" s="22"/>
      <c r="H620" s="56"/>
    </row>
    <row r="621" spans="7:8" ht="13.2" x14ac:dyDescent="0.25">
      <c r="G621" s="22"/>
      <c r="H621" s="56"/>
    </row>
    <row r="622" spans="7:8" ht="13.2" x14ac:dyDescent="0.25">
      <c r="G622" s="22"/>
      <c r="H622" s="56"/>
    </row>
    <row r="623" spans="7:8" ht="13.2" x14ac:dyDescent="0.25">
      <c r="G623" s="22"/>
      <c r="H623" s="56"/>
    </row>
    <row r="624" spans="7:8" ht="13.2" x14ac:dyDescent="0.25">
      <c r="G624" s="22"/>
      <c r="H624" s="56"/>
    </row>
    <row r="625" spans="7:8" ht="13.2" x14ac:dyDescent="0.25">
      <c r="G625" s="22"/>
      <c r="H625" s="56"/>
    </row>
    <row r="626" spans="7:8" ht="13.2" x14ac:dyDescent="0.25">
      <c r="G626" s="22"/>
      <c r="H626" s="56"/>
    </row>
    <row r="627" spans="7:8" ht="13.2" x14ac:dyDescent="0.25">
      <c r="G627" s="22"/>
      <c r="H627" s="56"/>
    </row>
    <row r="628" spans="7:8" ht="13.2" x14ac:dyDescent="0.25">
      <c r="G628" s="22"/>
      <c r="H628" s="56"/>
    </row>
    <row r="629" spans="7:8" ht="13.2" x14ac:dyDescent="0.25">
      <c r="G629" s="22"/>
      <c r="H629" s="56"/>
    </row>
    <row r="630" spans="7:8" ht="13.2" x14ac:dyDescent="0.25">
      <c r="G630" s="22"/>
      <c r="H630" s="56"/>
    </row>
    <row r="631" spans="7:8" ht="13.2" x14ac:dyDescent="0.25">
      <c r="G631" s="22"/>
      <c r="H631" s="56"/>
    </row>
    <row r="632" spans="7:8" ht="13.2" x14ac:dyDescent="0.25">
      <c r="G632" s="22"/>
      <c r="H632" s="56"/>
    </row>
    <row r="633" spans="7:8" ht="13.2" x14ac:dyDescent="0.25">
      <c r="G633" s="22"/>
      <c r="H633" s="56"/>
    </row>
    <row r="634" spans="7:8" ht="13.2" x14ac:dyDescent="0.25">
      <c r="G634" s="22"/>
      <c r="H634" s="56"/>
    </row>
    <row r="635" spans="7:8" ht="13.2" x14ac:dyDescent="0.25">
      <c r="G635" s="22"/>
      <c r="H635" s="56"/>
    </row>
    <row r="636" spans="7:8" ht="13.2" x14ac:dyDescent="0.25">
      <c r="G636" s="22"/>
      <c r="H636" s="56"/>
    </row>
    <row r="637" spans="7:8" ht="13.2" x14ac:dyDescent="0.25">
      <c r="G637" s="22"/>
      <c r="H637" s="56"/>
    </row>
    <row r="638" spans="7:8" ht="13.2" x14ac:dyDescent="0.25">
      <c r="G638" s="22"/>
      <c r="H638" s="56"/>
    </row>
    <row r="639" spans="7:8" ht="13.2" x14ac:dyDescent="0.25">
      <c r="G639" s="22"/>
      <c r="H639" s="56"/>
    </row>
    <row r="640" spans="7:8" ht="13.2" x14ac:dyDescent="0.25">
      <c r="G640" s="22"/>
      <c r="H640" s="56"/>
    </row>
    <row r="641" spans="7:8" ht="13.2" x14ac:dyDescent="0.25">
      <c r="G641" s="22"/>
      <c r="H641" s="56"/>
    </row>
    <row r="642" spans="7:8" ht="13.2" x14ac:dyDescent="0.25">
      <c r="G642" s="22"/>
      <c r="H642" s="56"/>
    </row>
    <row r="643" spans="7:8" ht="13.2" x14ac:dyDescent="0.25">
      <c r="G643" s="22"/>
      <c r="H643" s="56"/>
    </row>
    <row r="644" spans="7:8" ht="13.2" x14ac:dyDescent="0.25">
      <c r="G644" s="22"/>
      <c r="H644" s="56"/>
    </row>
    <row r="645" spans="7:8" ht="13.2" x14ac:dyDescent="0.25">
      <c r="G645" s="22"/>
      <c r="H645" s="56"/>
    </row>
    <row r="646" spans="7:8" ht="13.2" x14ac:dyDescent="0.25">
      <c r="G646" s="22"/>
      <c r="H646" s="56"/>
    </row>
    <row r="647" spans="7:8" ht="13.2" x14ac:dyDescent="0.25">
      <c r="G647" s="22"/>
      <c r="H647" s="56"/>
    </row>
    <row r="648" spans="7:8" ht="13.2" x14ac:dyDescent="0.25">
      <c r="G648" s="22"/>
      <c r="H648" s="56"/>
    </row>
    <row r="649" spans="7:8" ht="13.2" x14ac:dyDescent="0.25">
      <c r="G649" s="22"/>
      <c r="H649" s="56"/>
    </row>
    <row r="650" spans="7:8" ht="13.2" x14ac:dyDescent="0.25">
      <c r="G650" s="22"/>
      <c r="H650" s="56"/>
    </row>
    <row r="651" spans="7:8" ht="13.2" x14ac:dyDescent="0.25">
      <c r="G651" s="22"/>
      <c r="H651" s="56"/>
    </row>
    <row r="652" spans="7:8" ht="13.2" x14ac:dyDescent="0.25">
      <c r="G652" s="22"/>
      <c r="H652" s="56"/>
    </row>
    <row r="653" spans="7:8" ht="13.2" x14ac:dyDescent="0.25">
      <c r="G653" s="22"/>
      <c r="H653" s="56"/>
    </row>
    <row r="654" spans="7:8" ht="13.2" x14ac:dyDescent="0.25">
      <c r="G654" s="22"/>
      <c r="H654" s="56"/>
    </row>
    <row r="655" spans="7:8" ht="13.2" x14ac:dyDescent="0.25">
      <c r="G655" s="22"/>
      <c r="H655" s="56"/>
    </row>
    <row r="656" spans="7:8" ht="13.2" x14ac:dyDescent="0.25">
      <c r="G656" s="22"/>
      <c r="H656" s="56"/>
    </row>
    <row r="657" spans="7:8" ht="13.2" x14ac:dyDescent="0.25">
      <c r="G657" s="22"/>
      <c r="H657" s="56"/>
    </row>
    <row r="658" spans="7:8" ht="13.2" x14ac:dyDescent="0.25">
      <c r="G658" s="22"/>
      <c r="H658" s="56"/>
    </row>
    <row r="659" spans="7:8" ht="13.2" x14ac:dyDescent="0.25">
      <c r="G659" s="22"/>
      <c r="H659" s="56"/>
    </row>
    <row r="660" spans="7:8" ht="13.2" x14ac:dyDescent="0.25">
      <c r="G660" s="22"/>
      <c r="H660" s="56"/>
    </row>
    <row r="661" spans="7:8" ht="13.2" x14ac:dyDescent="0.25">
      <c r="G661" s="22"/>
      <c r="H661" s="56"/>
    </row>
    <row r="662" spans="7:8" ht="13.2" x14ac:dyDescent="0.25">
      <c r="G662" s="22"/>
      <c r="H662" s="56"/>
    </row>
    <row r="663" spans="7:8" ht="13.2" x14ac:dyDescent="0.25">
      <c r="G663" s="22"/>
      <c r="H663" s="56"/>
    </row>
    <row r="664" spans="7:8" ht="13.2" x14ac:dyDescent="0.25">
      <c r="G664" s="22"/>
      <c r="H664" s="56"/>
    </row>
    <row r="665" spans="7:8" ht="13.2" x14ac:dyDescent="0.25">
      <c r="G665" s="22"/>
      <c r="H665" s="56"/>
    </row>
    <row r="666" spans="7:8" ht="13.2" x14ac:dyDescent="0.25">
      <c r="G666" s="22"/>
      <c r="H666" s="56"/>
    </row>
    <row r="667" spans="7:8" ht="13.2" x14ac:dyDescent="0.25">
      <c r="G667" s="22"/>
      <c r="H667" s="56"/>
    </row>
    <row r="668" spans="7:8" ht="13.2" x14ac:dyDescent="0.25">
      <c r="G668" s="22"/>
      <c r="H668" s="56"/>
    </row>
    <row r="669" spans="7:8" ht="13.2" x14ac:dyDescent="0.25">
      <c r="G669" s="22"/>
      <c r="H669" s="56"/>
    </row>
    <row r="670" spans="7:8" ht="13.2" x14ac:dyDescent="0.25">
      <c r="G670" s="22"/>
      <c r="H670" s="56"/>
    </row>
    <row r="671" spans="7:8" ht="13.2" x14ac:dyDescent="0.25">
      <c r="G671" s="22"/>
      <c r="H671" s="56"/>
    </row>
    <row r="672" spans="7:8" ht="13.2" x14ac:dyDescent="0.25">
      <c r="G672" s="22"/>
      <c r="H672" s="56"/>
    </row>
    <row r="673" spans="7:8" ht="13.2" x14ac:dyDescent="0.25">
      <c r="G673" s="22"/>
      <c r="H673" s="56"/>
    </row>
    <row r="674" spans="7:8" ht="13.2" x14ac:dyDescent="0.25">
      <c r="G674" s="22"/>
      <c r="H674" s="56"/>
    </row>
    <row r="675" spans="7:8" ht="13.2" x14ac:dyDescent="0.25">
      <c r="G675" s="22"/>
      <c r="H675" s="56"/>
    </row>
    <row r="676" spans="7:8" ht="13.2" x14ac:dyDescent="0.25">
      <c r="G676" s="22"/>
      <c r="H676" s="56"/>
    </row>
    <row r="677" spans="7:8" ht="13.2" x14ac:dyDescent="0.25">
      <c r="G677" s="22"/>
      <c r="H677" s="56"/>
    </row>
    <row r="678" spans="7:8" ht="13.2" x14ac:dyDescent="0.25">
      <c r="G678" s="22"/>
      <c r="H678" s="56"/>
    </row>
    <row r="679" spans="7:8" ht="13.2" x14ac:dyDescent="0.25">
      <c r="G679" s="22"/>
      <c r="H679" s="56"/>
    </row>
    <row r="680" spans="7:8" ht="13.2" x14ac:dyDescent="0.25">
      <c r="G680" s="22"/>
      <c r="H680" s="56"/>
    </row>
    <row r="681" spans="7:8" ht="13.2" x14ac:dyDescent="0.25">
      <c r="G681" s="22"/>
      <c r="H681" s="56"/>
    </row>
    <row r="682" spans="7:8" ht="13.2" x14ac:dyDescent="0.25">
      <c r="G682" s="22"/>
      <c r="H682" s="56"/>
    </row>
    <row r="683" spans="7:8" ht="13.2" x14ac:dyDescent="0.25">
      <c r="G683" s="22"/>
      <c r="H683" s="56"/>
    </row>
    <row r="684" spans="7:8" ht="13.2" x14ac:dyDescent="0.25">
      <c r="G684" s="22"/>
      <c r="H684" s="56"/>
    </row>
    <row r="685" spans="7:8" ht="13.2" x14ac:dyDescent="0.25">
      <c r="G685" s="22"/>
      <c r="H685" s="56"/>
    </row>
    <row r="686" spans="7:8" ht="13.2" x14ac:dyDescent="0.25">
      <c r="G686" s="22"/>
      <c r="H686" s="56"/>
    </row>
    <row r="687" spans="7:8" ht="13.2" x14ac:dyDescent="0.25">
      <c r="G687" s="22"/>
      <c r="H687" s="56"/>
    </row>
    <row r="688" spans="7:8" ht="13.2" x14ac:dyDescent="0.25">
      <c r="G688" s="22"/>
      <c r="H688" s="56"/>
    </row>
    <row r="689" spans="7:8" ht="13.2" x14ac:dyDescent="0.25">
      <c r="G689" s="22"/>
      <c r="H689" s="56"/>
    </row>
    <row r="690" spans="7:8" ht="13.2" x14ac:dyDescent="0.25">
      <c r="G690" s="22"/>
      <c r="H690" s="56"/>
    </row>
    <row r="691" spans="7:8" ht="13.2" x14ac:dyDescent="0.25">
      <c r="G691" s="22"/>
      <c r="H691" s="56"/>
    </row>
    <row r="692" spans="7:8" ht="13.2" x14ac:dyDescent="0.25">
      <c r="G692" s="22"/>
      <c r="H692" s="56"/>
    </row>
    <row r="693" spans="7:8" ht="13.2" x14ac:dyDescent="0.25">
      <c r="G693" s="22"/>
      <c r="H693" s="56"/>
    </row>
    <row r="694" spans="7:8" ht="13.2" x14ac:dyDescent="0.25">
      <c r="G694" s="22"/>
      <c r="H694" s="56"/>
    </row>
    <row r="695" spans="7:8" ht="13.2" x14ac:dyDescent="0.25">
      <c r="G695" s="22"/>
      <c r="H695" s="56"/>
    </row>
    <row r="696" spans="7:8" ht="13.2" x14ac:dyDescent="0.25">
      <c r="G696" s="22"/>
      <c r="H696" s="56"/>
    </row>
    <row r="697" spans="7:8" ht="13.2" x14ac:dyDescent="0.25">
      <c r="G697" s="22"/>
      <c r="H697" s="56"/>
    </row>
    <row r="698" spans="7:8" ht="13.2" x14ac:dyDescent="0.25">
      <c r="G698" s="22"/>
      <c r="H698" s="56"/>
    </row>
    <row r="699" spans="7:8" ht="13.2" x14ac:dyDescent="0.25">
      <c r="G699" s="22"/>
      <c r="H699" s="56"/>
    </row>
    <row r="700" spans="7:8" ht="13.2" x14ac:dyDescent="0.25">
      <c r="G700" s="22"/>
      <c r="H700" s="56"/>
    </row>
    <row r="701" spans="7:8" ht="13.2" x14ac:dyDescent="0.25">
      <c r="G701" s="22"/>
      <c r="H701" s="56"/>
    </row>
    <row r="702" spans="7:8" ht="13.2" x14ac:dyDescent="0.25">
      <c r="G702" s="22"/>
      <c r="H702" s="56"/>
    </row>
    <row r="703" spans="7:8" ht="13.2" x14ac:dyDescent="0.25">
      <c r="G703" s="22"/>
      <c r="H703" s="56"/>
    </row>
    <row r="704" spans="7:8" ht="13.2" x14ac:dyDescent="0.25">
      <c r="G704" s="22"/>
      <c r="H704" s="56"/>
    </row>
    <row r="705" spans="7:8" ht="13.2" x14ac:dyDescent="0.25">
      <c r="G705" s="22"/>
      <c r="H705" s="56"/>
    </row>
    <row r="706" spans="7:8" ht="13.2" x14ac:dyDescent="0.25">
      <c r="G706" s="22"/>
      <c r="H706" s="56"/>
    </row>
    <row r="707" spans="7:8" ht="13.2" x14ac:dyDescent="0.25">
      <c r="G707" s="22"/>
      <c r="H707" s="56"/>
    </row>
    <row r="708" spans="7:8" ht="13.2" x14ac:dyDescent="0.25">
      <c r="G708" s="22"/>
      <c r="H708" s="56"/>
    </row>
    <row r="709" spans="7:8" ht="13.2" x14ac:dyDescent="0.25">
      <c r="G709" s="22"/>
      <c r="H709" s="56"/>
    </row>
    <row r="710" spans="7:8" ht="13.2" x14ac:dyDescent="0.25">
      <c r="G710" s="22"/>
      <c r="H710" s="56"/>
    </row>
    <row r="711" spans="7:8" ht="13.2" x14ac:dyDescent="0.25">
      <c r="G711" s="22"/>
      <c r="H711" s="56"/>
    </row>
    <row r="712" spans="7:8" ht="13.2" x14ac:dyDescent="0.25">
      <c r="G712" s="22"/>
      <c r="H712" s="56"/>
    </row>
    <row r="713" spans="7:8" ht="13.2" x14ac:dyDescent="0.25">
      <c r="G713" s="22"/>
      <c r="H713" s="56"/>
    </row>
    <row r="714" spans="7:8" ht="13.2" x14ac:dyDescent="0.25">
      <c r="G714" s="22"/>
      <c r="H714" s="56"/>
    </row>
    <row r="715" spans="7:8" ht="13.2" x14ac:dyDescent="0.25">
      <c r="G715" s="22"/>
      <c r="H715" s="56"/>
    </row>
    <row r="716" spans="7:8" ht="13.2" x14ac:dyDescent="0.25">
      <c r="G716" s="22"/>
      <c r="H716" s="56"/>
    </row>
    <row r="717" spans="7:8" ht="13.2" x14ac:dyDescent="0.25">
      <c r="G717" s="22"/>
      <c r="H717" s="56"/>
    </row>
    <row r="718" spans="7:8" ht="13.2" x14ac:dyDescent="0.25">
      <c r="G718" s="22"/>
      <c r="H718" s="56"/>
    </row>
    <row r="719" spans="7:8" ht="13.2" x14ac:dyDescent="0.25">
      <c r="G719" s="22"/>
      <c r="H719" s="56"/>
    </row>
    <row r="720" spans="7:8" ht="13.2" x14ac:dyDescent="0.25">
      <c r="G720" s="22"/>
      <c r="H720" s="56"/>
    </row>
    <row r="721" spans="7:8" ht="13.2" x14ac:dyDescent="0.25">
      <c r="G721" s="22"/>
      <c r="H721" s="56"/>
    </row>
    <row r="722" spans="7:8" ht="13.2" x14ac:dyDescent="0.25">
      <c r="G722" s="22"/>
      <c r="H722" s="56"/>
    </row>
    <row r="723" spans="7:8" ht="13.2" x14ac:dyDescent="0.25">
      <c r="G723" s="22"/>
      <c r="H723" s="56"/>
    </row>
    <row r="724" spans="7:8" ht="13.2" x14ac:dyDescent="0.25">
      <c r="G724" s="22"/>
      <c r="H724" s="56"/>
    </row>
    <row r="725" spans="7:8" ht="13.2" x14ac:dyDescent="0.25">
      <c r="G725" s="22"/>
      <c r="H725" s="56"/>
    </row>
    <row r="726" spans="7:8" ht="13.2" x14ac:dyDescent="0.25">
      <c r="G726" s="22"/>
      <c r="H726" s="56"/>
    </row>
    <row r="727" spans="7:8" ht="13.2" x14ac:dyDescent="0.25">
      <c r="G727" s="22"/>
      <c r="H727" s="56"/>
    </row>
    <row r="728" spans="7:8" ht="13.2" x14ac:dyDescent="0.25">
      <c r="G728" s="22"/>
      <c r="H728" s="56"/>
    </row>
    <row r="729" spans="7:8" ht="13.2" x14ac:dyDescent="0.25">
      <c r="G729" s="22"/>
      <c r="H729" s="56"/>
    </row>
    <row r="730" spans="7:8" ht="13.2" x14ac:dyDescent="0.25">
      <c r="G730" s="22"/>
      <c r="H730" s="56"/>
    </row>
    <row r="731" spans="7:8" ht="13.2" x14ac:dyDescent="0.25">
      <c r="G731" s="22"/>
      <c r="H731" s="56"/>
    </row>
    <row r="732" spans="7:8" ht="13.2" x14ac:dyDescent="0.25">
      <c r="G732" s="22"/>
      <c r="H732" s="56"/>
    </row>
    <row r="733" spans="7:8" ht="13.2" x14ac:dyDescent="0.25">
      <c r="G733" s="22"/>
      <c r="H733" s="56"/>
    </row>
    <row r="734" spans="7:8" ht="13.2" x14ac:dyDescent="0.25">
      <c r="G734" s="22"/>
      <c r="H734" s="56"/>
    </row>
    <row r="735" spans="7:8" ht="13.2" x14ac:dyDescent="0.25">
      <c r="G735" s="22"/>
      <c r="H735" s="56"/>
    </row>
    <row r="736" spans="7:8" ht="13.2" x14ac:dyDescent="0.25">
      <c r="G736" s="22"/>
      <c r="H736" s="56"/>
    </row>
    <row r="737" spans="7:8" ht="13.2" x14ac:dyDescent="0.25">
      <c r="G737" s="22"/>
      <c r="H737" s="56"/>
    </row>
    <row r="738" spans="7:8" ht="13.2" x14ac:dyDescent="0.25">
      <c r="G738" s="22"/>
      <c r="H738" s="56"/>
    </row>
    <row r="739" spans="7:8" ht="13.2" x14ac:dyDescent="0.25">
      <c r="G739" s="22"/>
      <c r="H739" s="56"/>
    </row>
    <row r="740" spans="7:8" ht="13.2" x14ac:dyDescent="0.25">
      <c r="G740" s="22"/>
      <c r="H740" s="56"/>
    </row>
    <row r="741" spans="7:8" ht="13.2" x14ac:dyDescent="0.25">
      <c r="G741" s="22"/>
      <c r="H741" s="56"/>
    </row>
    <row r="742" spans="7:8" ht="13.2" x14ac:dyDescent="0.25">
      <c r="G742" s="22"/>
      <c r="H742" s="56"/>
    </row>
    <row r="743" spans="7:8" ht="13.2" x14ac:dyDescent="0.25">
      <c r="G743" s="22"/>
      <c r="H743" s="56"/>
    </row>
    <row r="744" spans="7:8" ht="13.2" x14ac:dyDescent="0.25">
      <c r="G744" s="22"/>
      <c r="H744" s="56"/>
    </row>
    <row r="745" spans="7:8" ht="13.2" x14ac:dyDescent="0.25">
      <c r="G745" s="22"/>
      <c r="H745" s="56"/>
    </row>
    <row r="746" spans="7:8" ht="13.2" x14ac:dyDescent="0.25">
      <c r="G746" s="22"/>
      <c r="H746" s="56"/>
    </row>
    <row r="747" spans="7:8" ht="13.2" x14ac:dyDescent="0.25">
      <c r="G747" s="22"/>
      <c r="H747" s="56"/>
    </row>
    <row r="748" spans="7:8" ht="13.2" x14ac:dyDescent="0.25">
      <c r="G748" s="22"/>
      <c r="H748" s="56"/>
    </row>
    <row r="749" spans="7:8" ht="13.2" x14ac:dyDescent="0.25">
      <c r="G749" s="22"/>
      <c r="H749" s="56"/>
    </row>
    <row r="750" spans="7:8" ht="13.2" x14ac:dyDescent="0.25">
      <c r="G750" s="22"/>
      <c r="H750" s="56"/>
    </row>
    <row r="751" spans="7:8" ht="13.2" x14ac:dyDescent="0.25">
      <c r="G751" s="22"/>
      <c r="H751" s="56"/>
    </row>
    <row r="752" spans="7:8" ht="13.2" x14ac:dyDescent="0.25">
      <c r="G752" s="22"/>
      <c r="H752" s="56"/>
    </row>
    <row r="753" spans="7:8" ht="13.2" x14ac:dyDescent="0.25">
      <c r="G753" s="22"/>
      <c r="H753" s="56"/>
    </row>
    <row r="754" spans="7:8" ht="13.2" x14ac:dyDescent="0.25">
      <c r="G754" s="22"/>
      <c r="H754" s="56"/>
    </row>
    <row r="755" spans="7:8" ht="13.2" x14ac:dyDescent="0.25">
      <c r="G755" s="22"/>
      <c r="H755" s="56"/>
    </row>
    <row r="756" spans="7:8" ht="13.2" x14ac:dyDescent="0.25">
      <c r="G756" s="22"/>
      <c r="H756" s="56"/>
    </row>
    <row r="757" spans="7:8" ht="13.2" x14ac:dyDescent="0.25">
      <c r="G757" s="22"/>
      <c r="H757" s="56"/>
    </row>
    <row r="758" spans="7:8" ht="13.2" x14ac:dyDescent="0.25">
      <c r="G758" s="22"/>
      <c r="H758" s="56"/>
    </row>
    <row r="759" spans="7:8" ht="13.2" x14ac:dyDescent="0.25">
      <c r="G759" s="22"/>
      <c r="H759" s="56"/>
    </row>
    <row r="760" spans="7:8" ht="13.2" x14ac:dyDescent="0.25">
      <c r="G760" s="22"/>
      <c r="H760" s="56"/>
    </row>
    <row r="761" spans="7:8" ht="13.2" x14ac:dyDescent="0.25">
      <c r="G761" s="22"/>
      <c r="H761" s="56"/>
    </row>
    <row r="762" spans="7:8" ht="13.2" x14ac:dyDescent="0.25">
      <c r="G762" s="22"/>
      <c r="H762" s="56"/>
    </row>
    <row r="763" spans="7:8" ht="13.2" x14ac:dyDescent="0.25">
      <c r="G763" s="22"/>
      <c r="H763" s="56"/>
    </row>
    <row r="764" spans="7:8" ht="13.2" x14ac:dyDescent="0.25">
      <c r="G764" s="22"/>
      <c r="H764" s="56"/>
    </row>
    <row r="765" spans="7:8" ht="13.2" x14ac:dyDescent="0.25">
      <c r="G765" s="22"/>
      <c r="H765" s="56"/>
    </row>
    <row r="766" spans="7:8" ht="13.2" x14ac:dyDescent="0.25">
      <c r="G766" s="22"/>
      <c r="H766" s="56"/>
    </row>
    <row r="767" spans="7:8" ht="13.2" x14ac:dyDescent="0.25">
      <c r="G767" s="22"/>
      <c r="H767" s="56"/>
    </row>
    <row r="768" spans="7:8" ht="13.2" x14ac:dyDescent="0.25">
      <c r="G768" s="22"/>
      <c r="H768" s="56"/>
    </row>
    <row r="769" spans="7:8" ht="13.2" x14ac:dyDescent="0.25">
      <c r="G769" s="22"/>
      <c r="H769" s="56"/>
    </row>
    <row r="770" spans="7:8" ht="13.2" x14ac:dyDescent="0.25">
      <c r="G770" s="22"/>
      <c r="H770" s="56"/>
    </row>
    <row r="771" spans="7:8" ht="13.2" x14ac:dyDescent="0.25">
      <c r="G771" s="22"/>
      <c r="H771" s="56"/>
    </row>
    <row r="772" spans="7:8" ht="13.2" x14ac:dyDescent="0.25">
      <c r="G772" s="22"/>
      <c r="H772" s="56"/>
    </row>
    <row r="773" spans="7:8" ht="13.2" x14ac:dyDescent="0.25">
      <c r="G773" s="22"/>
      <c r="H773" s="56"/>
    </row>
    <row r="774" spans="7:8" ht="13.2" x14ac:dyDescent="0.25">
      <c r="G774" s="22"/>
      <c r="H774" s="56"/>
    </row>
    <row r="775" spans="7:8" ht="13.2" x14ac:dyDescent="0.25">
      <c r="G775" s="22"/>
      <c r="H775" s="56"/>
    </row>
    <row r="776" spans="7:8" ht="13.2" x14ac:dyDescent="0.25">
      <c r="G776" s="22"/>
      <c r="H776" s="56"/>
    </row>
    <row r="777" spans="7:8" ht="13.2" x14ac:dyDescent="0.25">
      <c r="G777" s="22"/>
      <c r="H777" s="56"/>
    </row>
    <row r="778" spans="7:8" ht="13.2" x14ac:dyDescent="0.25">
      <c r="G778" s="22"/>
      <c r="H778" s="56"/>
    </row>
    <row r="779" spans="7:8" ht="13.2" x14ac:dyDescent="0.25">
      <c r="G779" s="22"/>
      <c r="H779" s="56"/>
    </row>
    <row r="780" spans="7:8" ht="13.2" x14ac:dyDescent="0.25">
      <c r="G780" s="22"/>
      <c r="H780" s="56"/>
    </row>
    <row r="781" spans="7:8" ht="13.2" x14ac:dyDescent="0.25">
      <c r="G781" s="22"/>
      <c r="H781" s="56"/>
    </row>
    <row r="782" spans="7:8" ht="13.2" x14ac:dyDescent="0.25">
      <c r="G782" s="22"/>
      <c r="H782" s="56"/>
    </row>
    <row r="783" spans="7:8" ht="13.2" x14ac:dyDescent="0.25">
      <c r="G783" s="22"/>
      <c r="H783" s="56"/>
    </row>
    <row r="784" spans="7:8" ht="13.2" x14ac:dyDescent="0.25">
      <c r="G784" s="22"/>
      <c r="H784" s="56"/>
    </row>
    <row r="785" spans="7:8" ht="13.2" x14ac:dyDescent="0.25">
      <c r="G785" s="22"/>
      <c r="H785" s="56"/>
    </row>
    <row r="786" spans="7:8" ht="13.2" x14ac:dyDescent="0.25">
      <c r="G786" s="22"/>
      <c r="H786" s="56"/>
    </row>
    <row r="787" spans="7:8" ht="13.2" x14ac:dyDescent="0.25">
      <c r="G787" s="22"/>
      <c r="H787" s="56"/>
    </row>
    <row r="788" spans="7:8" ht="13.2" x14ac:dyDescent="0.25">
      <c r="G788" s="22"/>
      <c r="H788" s="56"/>
    </row>
    <row r="789" spans="7:8" ht="13.2" x14ac:dyDescent="0.25">
      <c r="G789" s="22"/>
      <c r="H789" s="56"/>
    </row>
    <row r="790" spans="7:8" ht="13.2" x14ac:dyDescent="0.25">
      <c r="G790" s="22"/>
      <c r="H790" s="56"/>
    </row>
    <row r="791" spans="7:8" ht="13.2" x14ac:dyDescent="0.25">
      <c r="G791" s="22"/>
      <c r="H791" s="56"/>
    </row>
    <row r="792" spans="7:8" ht="13.2" x14ac:dyDescent="0.25">
      <c r="G792" s="22"/>
      <c r="H792" s="56"/>
    </row>
    <row r="793" spans="7:8" ht="13.2" x14ac:dyDescent="0.25">
      <c r="G793" s="22"/>
      <c r="H793" s="56"/>
    </row>
    <row r="794" spans="7:8" ht="13.2" x14ac:dyDescent="0.25">
      <c r="G794" s="22"/>
      <c r="H794" s="56"/>
    </row>
    <row r="795" spans="7:8" ht="13.2" x14ac:dyDescent="0.25">
      <c r="G795" s="22"/>
      <c r="H795" s="56"/>
    </row>
    <row r="796" spans="7:8" ht="13.2" x14ac:dyDescent="0.25">
      <c r="G796" s="22"/>
      <c r="H796" s="56"/>
    </row>
    <row r="797" spans="7:8" ht="13.2" x14ac:dyDescent="0.25">
      <c r="G797" s="22"/>
      <c r="H797" s="56"/>
    </row>
    <row r="798" spans="7:8" ht="13.2" x14ac:dyDescent="0.25">
      <c r="G798" s="22"/>
      <c r="H798" s="56"/>
    </row>
    <row r="799" spans="7:8" ht="13.2" x14ac:dyDescent="0.25">
      <c r="G799" s="22"/>
      <c r="H799" s="56"/>
    </row>
    <row r="800" spans="7:8" ht="13.2" x14ac:dyDescent="0.25">
      <c r="G800" s="22"/>
      <c r="H800" s="56"/>
    </row>
    <row r="801" spans="7:8" ht="13.2" x14ac:dyDescent="0.25">
      <c r="G801" s="22"/>
      <c r="H801" s="56"/>
    </row>
    <row r="802" spans="7:8" ht="13.2" x14ac:dyDescent="0.25">
      <c r="G802" s="22"/>
      <c r="H802" s="56"/>
    </row>
    <row r="803" spans="7:8" ht="13.2" x14ac:dyDescent="0.25">
      <c r="G803" s="22"/>
      <c r="H803" s="56"/>
    </row>
    <row r="804" spans="7:8" ht="13.2" x14ac:dyDescent="0.25">
      <c r="G804" s="22"/>
      <c r="H804" s="56"/>
    </row>
    <row r="805" spans="7:8" ht="13.2" x14ac:dyDescent="0.25">
      <c r="G805" s="22"/>
      <c r="H805" s="56"/>
    </row>
    <row r="806" spans="7:8" ht="13.2" x14ac:dyDescent="0.25">
      <c r="G806" s="22"/>
      <c r="H806" s="56"/>
    </row>
    <row r="807" spans="7:8" ht="13.2" x14ac:dyDescent="0.25">
      <c r="G807" s="22"/>
      <c r="H807" s="56"/>
    </row>
    <row r="808" spans="7:8" ht="13.2" x14ac:dyDescent="0.25">
      <c r="G808" s="22"/>
      <c r="H808" s="56"/>
    </row>
    <row r="809" spans="7:8" ht="13.2" x14ac:dyDescent="0.25">
      <c r="G809" s="22"/>
      <c r="H809" s="56"/>
    </row>
    <row r="810" spans="7:8" ht="13.2" x14ac:dyDescent="0.25">
      <c r="G810" s="22"/>
      <c r="H810" s="56"/>
    </row>
    <row r="811" spans="7:8" ht="13.2" x14ac:dyDescent="0.25">
      <c r="G811" s="22"/>
      <c r="H811" s="56"/>
    </row>
    <row r="812" spans="7:8" ht="13.2" x14ac:dyDescent="0.25">
      <c r="G812" s="22"/>
      <c r="H812" s="56"/>
    </row>
    <row r="813" spans="7:8" ht="13.2" x14ac:dyDescent="0.25">
      <c r="G813" s="22"/>
      <c r="H813" s="56"/>
    </row>
    <row r="814" spans="7:8" ht="13.2" x14ac:dyDescent="0.25">
      <c r="G814" s="22"/>
      <c r="H814" s="56"/>
    </row>
    <row r="815" spans="7:8" ht="13.2" x14ac:dyDescent="0.25">
      <c r="G815" s="22"/>
      <c r="H815" s="56"/>
    </row>
    <row r="816" spans="7:8" ht="13.2" x14ac:dyDescent="0.25">
      <c r="G816" s="22"/>
      <c r="H816" s="56"/>
    </row>
    <row r="817" spans="7:8" ht="13.2" x14ac:dyDescent="0.25">
      <c r="G817" s="22"/>
      <c r="H817" s="56"/>
    </row>
    <row r="818" spans="7:8" ht="13.2" x14ac:dyDescent="0.25">
      <c r="G818" s="22"/>
      <c r="H818" s="56"/>
    </row>
    <row r="819" spans="7:8" ht="13.2" x14ac:dyDescent="0.25">
      <c r="G819" s="22"/>
      <c r="H819" s="56"/>
    </row>
    <row r="820" spans="7:8" ht="13.2" x14ac:dyDescent="0.25">
      <c r="G820" s="22"/>
      <c r="H820" s="56"/>
    </row>
    <row r="821" spans="7:8" ht="13.2" x14ac:dyDescent="0.25">
      <c r="G821" s="22"/>
      <c r="H821" s="56"/>
    </row>
    <row r="822" spans="7:8" ht="13.2" x14ac:dyDescent="0.25">
      <c r="G822" s="22"/>
      <c r="H822" s="56"/>
    </row>
    <row r="823" spans="7:8" ht="13.2" x14ac:dyDescent="0.25">
      <c r="G823" s="22"/>
      <c r="H823" s="56"/>
    </row>
    <row r="824" spans="7:8" ht="13.2" x14ac:dyDescent="0.25">
      <c r="G824" s="22"/>
      <c r="H824" s="56"/>
    </row>
    <row r="825" spans="7:8" ht="13.2" x14ac:dyDescent="0.25">
      <c r="G825" s="22"/>
      <c r="H825" s="56"/>
    </row>
    <row r="826" spans="7:8" ht="13.2" x14ac:dyDescent="0.25">
      <c r="G826" s="22"/>
      <c r="H826" s="56"/>
    </row>
    <row r="827" spans="7:8" ht="13.2" x14ac:dyDescent="0.25">
      <c r="G827" s="22"/>
      <c r="H827" s="56"/>
    </row>
    <row r="828" spans="7:8" ht="13.2" x14ac:dyDescent="0.25">
      <c r="G828" s="22"/>
      <c r="H828" s="56"/>
    </row>
    <row r="829" spans="7:8" ht="13.2" x14ac:dyDescent="0.25">
      <c r="G829" s="22"/>
      <c r="H829" s="56"/>
    </row>
    <row r="830" spans="7:8" ht="13.2" x14ac:dyDescent="0.25">
      <c r="G830" s="22"/>
      <c r="H830" s="56"/>
    </row>
    <row r="831" spans="7:8" ht="13.2" x14ac:dyDescent="0.25">
      <c r="G831" s="22"/>
      <c r="H831" s="56"/>
    </row>
    <row r="832" spans="7:8" ht="13.2" x14ac:dyDescent="0.25">
      <c r="G832" s="22"/>
      <c r="H832" s="56"/>
    </row>
    <row r="833" spans="7:8" ht="13.2" x14ac:dyDescent="0.25">
      <c r="G833" s="22"/>
      <c r="H833" s="56"/>
    </row>
    <row r="834" spans="7:8" ht="13.2" x14ac:dyDescent="0.25">
      <c r="G834" s="22"/>
      <c r="H834" s="56"/>
    </row>
    <row r="835" spans="7:8" ht="13.2" x14ac:dyDescent="0.25">
      <c r="G835" s="22"/>
      <c r="H835" s="56"/>
    </row>
    <row r="836" spans="7:8" ht="13.2" x14ac:dyDescent="0.25">
      <c r="G836" s="22"/>
      <c r="H836" s="56"/>
    </row>
    <row r="837" spans="7:8" ht="13.2" x14ac:dyDescent="0.25">
      <c r="G837" s="22"/>
      <c r="H837" s="56"/>
    </row>
    <row r="838" spans="7:8" ht="13.2" x14ac:dyDescent="0.25">
      <c r="G838" s="22"/>
      <c r="H838" s="56"/>
    </row>
    <row r="839" spans="7:8" ht="13.2" x14ac:dyDescent="0.25">
      <c r="G839" s="22"/>
      <c r="H839" s="56"/>
    </row>
    <row r="840" spans="7:8" ht="13.2" x14ac:dyDescent="0.25">
      <c r="G840" s="22"/>
      <c r="H840" s="56"/>
    </row>
    <row r="841" spans="7:8" ht="13.2" x14ac:dyDescent="0.25">
      <c r="G841" s="22"/>
      <c r="H841" s="56"/>
    </row>
    <row r="842" spans="7:8" ht="13.2" x14ac:dyDescent="0.25">
      <c r="G842" s="22"/>
      <c r="H842" s="56"/>
    </row>
    <row r="843" spans="7:8" ht="13.2" x14ac:dyDescent="0.25">
      <c r="G843" s="22"/>
      <c r="H843" s="56"/>
    </row>
    <row r="844" spans="7:8" ht="13.2" x14ac:dyDescent="0.25">
      <c r="G844" s="22"/>
      <c r="H844" s="56"/>
    </row>
    <row r="845" spans="7:8" ht="13.2" x14ac:dyDescent="0.25">
      <c r="G845" s="22"/>
      <c r="H845" s="56"/>
    </row>
    <row r="846" spans="7:8" ht="13.2" x14ac:dyDescent="0.25">
      <c r="G846" s="22"/>
      <c r="H846" s="56"/>
    </row>
    <row r="847" spans="7:8" ht="13.2" x14ac:dyDescent="0.25">
      <c r="G847" s="22"/>
      <c r="H847" s="56"/>
    </row>
    <row r="848" spans="7:8" ht="13.2" x14ac:dyDescent="0.25">
      <c r="G848" s="22"/>
      <c r="H848" s="56"/>
    </row>
    <row r="849" spans="7:8" ht="13.2" x14ac:dyDescent="0.25">
      <c r="G849" s="22"/>
      <c r="H849" s="56"/>
    </row>
    <row r="850" spans="7:8" ht="13.2" x14ac:dyDescent="0.25">
      <c r="G850" s="22"/>
      <c r="H850" s="56"/>
    </row>
    <row r="851" spans="7:8" ht="13.2" x14ac:dyDescent="0.25">
      <c r="G851" s="22"/>
      <c r="H851" s="56"/>
    </row>
    <row r="852" spans="7:8" ht="13.2" x14ac:dyDescent="0.25">
      <c r="G852" s="22"/>
      <c r="H852" s="56"/>
    </row>
    <row r="853" spans="7:8" ht="13.2" x14ac:dyDescent="0.25">
      <c r="G853" s="22"/>
      <c r="H853" s="56"/>
    </row>
    <row r="854" spans="7:8" ht="13.2" x14ac:dyDescent="0.25">
      <c r="G854" s="22"/>
      <c r="H854" s="56"/>
    </row>
    <row r="855" spans="7:8" ht="13.2" x14ac:dyDescent="0.25">
      <c r="G855" s="22"/>
      <c r="H855" s="56"/>
    </row>
    <row r="856" spans="7:8" ht="13.2" x14ac:dyDescent="0.25">
      <c r="G856" s="22"/>
      <c r="H856" s="56"/>
    </row>
    <row r="857" spans="7:8" ht="13.2" x14ac:dyDescent="0.25">
      <c r="G857" s="22"/>
      <c r="H857" s="56"/>
    </row>
    <row r="858" spans="7:8" ht="13.2" x14ac:dyDescent="0.25">
      <c r="G858" s="22"/>
      <c r="H858" s="56"/>
    </row>
    <row r="859" spans="7:8" ht="13.2" x14ac:dyDescent="0.25">
      <c r="G859" s="22"/>
      <c r="H859" s="56"/>
    </row>
    <row r="860" spans="7:8" ht="13.2" x14ac:dyDescent="0.25">
      <c r="G860" s="22"/>
      <c r="H860" s="56"/>
    </row>
    <row r="861" spans="7:8" ht="13.2" x14ac:dyDescent="0.25">
      <c r="G861" s="22"/>
      <c r="H861" s="56"/>
    </row>
    <row r="862" spans="7:8" ht="13.2" x14ac:dyDescent="0.25">
      <c r="G862" s="22"/>
      <c r="H862" s="56"/>
    </row>
    <row r="863" spans="7:8" ht="13.2" x14ac:dyDescent="0.25">
      <c r="G863" s="22"/>
      <c r="H863" s="56"/>
    </row>
    <row r="864" spans="7:8" ht="13.2" x14ac:dyDescent="0.25">
      <c r="G864" s="22"/>
      <c r="H864" s="56"/>
    </row>
    <row r="865" spans="7:8" ht="13.2" x14ac:dyDescent="0.25">
      <c r="G865" s="22"/>
      <c r="H865" s="56"/>
    </row>
    <row r="866" spans="7:8" ht="13.2" x14ac:dyDescent="0.25">
      <c r="G866" s="22"/>
      <c r="H866" s="56"/>
    </row>
    <row r="867" spans="7:8" ht="13.2" x14ac:dyDescent="0.25">
      <c r="G867" s="22"/>
      <c r="H867" s="56"/>
    </row>
    <row r="868" spans="7:8" ht="13.2" x14ac:dyDescent="0.25">
      <c r="G868" s="22"/>
      <c r="H868" s="56"/>
    </row>
    <row r="869" spans="7:8" ht="13.2" x14ac:dyDescent="0.25">
      <c r="G869" s="22"/>
      <c r="H869" s="56"/>
    </row>
    <row r="870" spans="7:8" ht="13.2" x14ac:dyDescent="0.25">
      <c r="G870" s="22"/>
      <c r="H870" s="56"/>
    </row>
    <row r="871" spans="7:8" ht="13.2" x14ac:dyDescent="0.25">
      <c r="G871" s="22"/>
      <c r="H871" s="56"/>
    </row>
    <row r="872" spans="7:8" ht="13.2" x14ac:dyDescent="0.25">
      <c r="G872" s="22"/>
      <c r="H872" s="56"/>
    </row>
    <row r="873" spans="7:8" ht="13.2" x14ac:dyDescent="0.25">
      <c r="G873" s="22"/>
      <c r="H873" s="56"/>
    </row>
    <row r="874" spans="7:8" ht="13.2" x14ac:dyDescent="0.25">
      <c r="G874" s="22"/>
      <c r="H874" s="56"/>
    </row>
    <row r="875" spans="7:8" ht="13.2" x14ac:dyDescent="0.25">
      <c r="G875" s="22"/>
      <c r="H875" s="56"/>
    </row>
    <row r="876" spans="7:8" ht="13.2" x14ac:dyDescent="0.25">
      <c r="G876" s="22"/>
      <c r="H876" s="56"/>
    </row>
    <row r="877" spans="7:8" ht="13.2" x14ac:dyDescent="0.25">
      <c r="G877" s="22"/>
      <c r="H877" s="56"/>
    </row>
    <row r="878" spans="7:8" ht="13.2" x14ac:dyDescent="0.25">
      <c r="G878" s="22"/>
      <c r="H878" s="56"/>
    </row>
    <row r="879" spans="7:8" ht="13.2" x14ac:dyDescent="0.25">
      <c r="G879" s="22"/>
      <c r="H879" s="56"/>
    </row>
    <row r="880" spans="7:8" ht="13.2" x14ac:dyDescent="0.25">
      <c r="G880" s="22"/>
      <c r="H880" s="56"/>
    </row>
    <row r="881" spans="7:8" ht="13.2" x14ac:dyDescent="0.25">
      <c r="G881" s="22"/>
      <c r="H881" s="56"/>
    </row>
    <row r="882" spans="7:8" ht="13.2" x14ac:dyDescent="0.25">
      <c r="G882" s="22"/>
      <c r="H882" s="56"/>
    </row>
    <row r="883" spans="7:8" ht="13.2" x14ac:dyDescent="0.25">
      <c r="G883" s="22"/>
      <c r="H883" s="56"/>
    </row>
    <row r="884" spans="7:8" ht="13.2" x14ac:dyDescent="0.25">
      <c r="G884" s="22"/>
      <c r="H884" s="56"/>
    </row>
    <row r="885" spans="7:8" ht="13.2" x14ac:dyDescent="0.25">
      <c r="G885" s="22"/>
      <c r="H885" s="56"/>
    </row>
    <row r="886" spans="7:8" ht="13.2" x14ac:dyDescent="0.25">
      <c r="G886" s="22"/>
      <c r="H886" s="56"/>
    </row>
    <row r="887" spans="7:8" ht="13.2" x14ac:dyDescent="0.25">
      <c r="G887" s="22"/>
      <c r="H887" s="56"/>
    </row>
    <row r="888" spans="7:8" ht="13.2" x14ac:dyDescent="0.25">
      <c r="G888" s="22"/>
      <c r="H888" s="56"/>
    </row>
    <row r="889" spans="7:8" ht="13.2" x14ac:dyDescent="0.25">
      <c r="G889" s="22"/>
      <c r="H889" s="56"/>
    </row>
    <row r="890" spans="7:8" ht="13.2" x14ac:dyDescent="0.25">
      <c r="G890" s="22"/>
      <c r="H890" s="56"/>
    </row>
    <row r="891" spans="7:8" ht="13.2" x14ac:dyDescent="0.25">
      <c r="G891" s="22"/>
      <c r="H891" s="56"/>
    </row>
    <row r="892" spans="7:8" ht="13.2" x14ac:dyDescent="0.25">
      <c r="G892" s="22"/>
      <c r="H892" s="56"/>
    </row>
    <row r="893" spans="7:8" ht="13.2" x14ac:dyDescent="0.25">
      <c r="G893" s="22"/>
      <c r="H893" s="56"/>
    </row>
    <row r="894" spans="7:8" ht="13.2" x14ac:dyDescent="0.25">
      <c r="G894" s="22"/>
      <c r="H894" s="56"/>
    </row>
    <row r="895" spans="7:8" ht="13.2" x14ac:dyDescent="0.25">
      <c r="G895" s="22"/>
      <c r="H895" s="56"/>
    </row>
    <row r="896" spans="7:8" ht="13.2" x14ac:dyDescent="0.25">
      <c r="G896" s="22"/>
      <c r="H896" s="56"/>
    </row>
    <row r="897" spans="7:8" ht="13.2" x14ac:dyDescent="0.25">
      <c r="G897" s="22"/>
      <c r="H897" s="56"/>
    </row>
    <row r="898" spans="7:8" ht="13.2" x14ac:dyDescent="0.25">
      <c r="G898" s="22"/>
      <c r="H898" s="56"/>
    </row>
    <row r="899" spans="7:8" ht="13.2" x14ac:dyDescent="0.25">
      <c r="G899" s="22"/>
      <c r="H899" s="56"/>
    </row>
    <row r="900" spans="7:8" ht="13.2" x14ac:dyDescent="0.25">
      <c r="G900" s="22"/>
      <c r="H900" s="56"/>
    </row>
    <row r="901" spans="7:8" ht="13.2" x14ac:dyDescent="0.25">
      <c r="G901" s="22"/>
      <c r="H901" s="56"/>
    </row>
    <row r="902" spans="7:8" ht="13.2" x14ac:dyDescent="0.25">
      <c r="G902" s="22"/>
      <c r="H902" s="56"/>
    </row>
    <row r="903" spans="7:8" ht="13.2" x14ac:dyDescent="0.25">
      <c r="G903" s="22"/>
      <c r="H903" s="56"/>
    </row>
    <row r="904" spans="7:8" ht="13.2" x14ac:dyDescent="0.25">
      <c r="G904" s="22"/>
      <c r="H904" s="56"/>
    </row>
    <row r="905" spans="7:8" ht="13.2" x14ac:dyDescent="0.25">
      <c r="G905" s="22"/>
      <c r="H905" s="56"/>
    </row>
    <row r="906" spans="7:8" ht="13.2" x14ac:dyDescent="0.25">
      <c r="G906" s="22"/>
      <c r="H906" s="56"/>
    </row>
    <row r="907" spans="7:8" ht="13.2" x14ac:dyDescent="0.25">
      <c r="G907" s="22"/>
      <c r="H907" s="56"/>
    </row>
    <row r="908" spans="7:8" ht="13.2" x14ac:dyDescent="0.25">
      <c r="G908" s="22"/>
      <c r="H908" s="56"/>
    </row>
    <row r="909" spans="7:8" ht="13.2" x14ac:dyDescent="0.25">
      <c r="G909" s="22"/>
      <c r="H909" s="56"/>
    </row>
    <row r="910" spans="7:8" ht="13.2" x14ac:dyDescent="0.25">
      <c r="G910" s="22"/>
      <c r="H910" s="56"/>
    </row>
    <row r="911" spans="7:8" ht="13.2" x14ac:dyDescent="0.25">
      <c r="G911" s="22"/>
      <c r="H911" s="56"/>
    </row>
    <row r="912" spans="7:8" ht="13.2" x14ac:dyDescent="0.25">
      <c r="G912" s="22"/>
      <c r="H912" s="56"/>
    </row>
  </sheetData>
  <mergeCells count="45">
    <mergeCell ref="B4:E4"/>
    <mergeCell ref="B9:C9"/>
    <mergeCell ref="D9:F9"/>
    <mergeCell ref="B11:E11"/>
    <mergeCell ref="B16:C16"/>
    <mergeCell ref="D16:F16"/>
    <mergeCell ref="B18:E18"/>
    <mergeCell ref="B23:C23"/>
    <mergeCell ref="D23:F23"/>
    <mergeCell ref="B25:E25"/>
    <mergeCell ref="B30:C30"/>
    <mergeCell ref="D30:F30"/>
    <mergeCell ref="B32:E32"/>
    <mergeCell ref="D37:F37"/>
    <mergeCell ref="B37:C37"/>
    <mergeCell ref="B39:E39"/>
    <mergeCell ref="B44:C44"/>
    <mergeCell ref="D44:F44"/>
    <mergeCell ref="B46:E46"/>
    <mergeCell ref="D51:F51"/>
    <mergeCell ref="B53:E53"/>
    <mergeCell ref="B51:C51"/>
    <mergeCell ref="B58:C58"/>
    <mergeCell ref="D58:F58"/>
    <mergeCell ref="B60:E60"/>
    <mergeCell ref="B65:C65"/>
    <mergeCell ref="D65:F65"/>
    <mergeCell ref="B67:E67"/>
    <mergeCell ref="B72:C72"/>
    <mergeCell ref="D72:F72"/>
    <mergeCell ref="B74:E74"/>
    <mergeCell ref="B79:C79"/>
    <mergeCell ref="D79:F79"/>
    <mergeCell ref="B81:E81"/>
    <mergeCell ref="D86:F86"/>
    <mergeCell ref="B86:C86"/>
    <mergeCell ref="B102:E102"/>
    <mergeCell ref="B107:C107"/>
    <mergeCell ref="D107:G107"/>
    <mergeCell ref="B88:E88"/>
    <mergeCell ref="B93:C93"/>
    <mergeCell ref="D93:F93"/>
    <mergeCell ref="B95:E95"/>
    <mergeCell ref="D100:F100"/>
    <mergeCell ref="B100:C100"/>
  </mergeCells>
  <dataValidations count="2">
    <dataValidation type="custom" allowBlank="1" showDropDown="1" showInputMessage="1" showErrorMessage="1" prompt="Ide 2006-2010 (2011) közötti évszámok írható be!" sqref="D5:E8 D9 G9 D12:E15 D16 G16 D19:E22 D23 G23 D26:E29 D30 G30 D33:E36 D37 G37 D40:E43 D44 G44 D47:E50 D51 G51 D54:E57 D58 G58 D61:E64 D65 G65 D68:E71 D72 G72 D75:E78 D79 G79 D82:E85 D86 G86 D89:E92 D93 G93 D96:E99 D100 G100 D103:E106 D107" xr:uid="{00000000-0002-0000-0600-000000000000}">
      <formula1>OR(D5 = "2006", D5="2007",  D5="2008", D5="2009", D5="2010", D5="2011")</formula1>
    </dataValidation>
    <dataValidation type="custom" allowBlank="1" showDropDown="1" showInputMessage="1" showErrorMessage="1" prompt="Ide csak időeredmény (pl: 4:33,9) vagy DNS, DNF, DQ jelzések lehetnek!" sqref="F4:F8 F10:F15 F17:F22 F24:F29 F31:F36 F38:F43 F45:F50 F52:F57 F59:F64 F66:F71 F73:F78 F80:F85 F87:F92 F94:F99 F101:F106 F108" xr:uid="{00000000-0002-0000-0600-000001000000}">
      <formula1>REGEXMATCH(F4,"^\d{1,2}:\d\d,\d{1,2}$|^DNS$|^DNF$|^DQ$")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D966"/>
    <outlinePr summaryBelow="0" summaryRight="0"/>
  </sheetPr>
  <dimension ref="A1:AK837"/>
  <sheetViews>
    <sheetView workbookViewId="0">
      <pane ySplit="3" topLeftCell="A4" activePane="bottomLeft" state="frozen"/>
      <selection pane="bottomLeft" activeCell="T14" sqref="T14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16" width="4.109375" customWidth="1"/>
    <col min="17" max="17" width="6.88671875" customWidth="1"/>
    <col min="18" max="18" width="5.88671875" customWidth="1"/>
    <col min="20" max="20" width="8.21875" customWidth="1"/>
  </cols>
  <sheetData>
    <row r="1" spans="1:37" ht="25.8" x14ac:dyDescent="0.8">
      <c r="A1" s="62" t="s">
        <v>484</v>
      </c>
      <c r="B1" s="63"/>
      <c r="C1" s="64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  <c r="R1" s="68"/>
      <c r="S1" s="69"/>
      <c r="T1" s="70"/>
    </row>
    <row r="2" spans="1:37" ht="16.2" x14ac:dyDescent="0.5">
      <c r="A2" s="10" t="s">
        <v>1</v>
      </c>
      <c r="B2" s="10" t="s">
        <v>2</v>
      </c>
      <c r="C2" s="11"/>
      <c r="D2" s="12" t="s">
        <v>3</v>
      </c>
      <c r="E2" s="12" t="e">
        <f>#REF!</f>
        <v>#REF!</v>
      </c>
      <c r="F2" s="12" t="e">
        <f>#REF!</f>
        <v>#REF!</v>
      </c>
      <c r="G2" s="12" t="e">
        <f>#REF!</f>
        <v>#REF!</v>
      </c>
      <c r="H2" s="12" t="e">
        <f>#REF!</f>
        <v>#REF!</v>
      </c>
      <c r="I2" s="12" t="e">
        <f>#REF!</f>
        <v>#REF!</v>
      </c>
      <c r="J2" s="12" t="e">
        <f>#REF!</f>
        <v>#REF!</v>
      </c>
      <c r="K2" s="12" t="e">
        <f>#REF!</f>
        <v>#REF!</v>
      </c>
      <c r="L2" s="12" t="e">
        <f>#REF!</f>
        <v>#REF!</v>
      </c>
      <c r="M2" s="12" t="e">
        <f>#REF!</f>
        <v>#REF!</v>
      </c>
      <c r="N2" s="12" t="e">
        <f>#REF!</f>
        <v>#REF!</v>
      </c>
      <c r="O2" s="12" t="e">
        <f>#REF!</f>
        <v>#REF!</v>
      </c>
      <c r="P2" s="12" t="e">
        <f>#REF!</f>
        <v>#REF!</v>
      </c>
      <c r="Q2" s="13" t="s">
        <v>485</v>
      </c>
      <c r="R2" s="71" t="s">
        <v>5</v>
      </c>
      <c r="S2" s="14" t="s">
        <v>6</v>
      </c>
      <c r="T2" s="15" t="s">
        <v>7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13.2" x14ac:dyDescent="0.25">
      <c r="A3" s="17"/>
      <c r="B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20"/>
      <c r="S3" s="21"/>
      <c r="T3" s="22"/>
    </row>
    <row r="4" spans="1:37" ht="15.6" x14ac:dyDescent="0.25">
      <c r="A4" s="23">
        <v>1</v>
      </c>
      <c r="B4" s="72" t="s">
        <v>35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R4" s="24"/>
      <c r="S4" s="25">
        <f ca="1">IF(COUNTIFS(R5:R9,"&gt;0") &gt; 3, FLOOR((SUM(R5:R9)-MIN(R5,R6,R7,R8,R9))/4,0.0001), )</f>
        <v>1.4125000000000001</v>
      </c>
      <c r="T4" s="26">
        <f ca="1">IF(S4=0,"",RANK(S4,$S$4:$S$37,))</f>
        <v>1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ht="18.75" customHeight="1" x14ac:dyDescent="0.25">
      <c r="A5" s="17"/>
      <c r="B5" s="28">
        <v>1</v>
      </c>
      <c r="C5" s="29" t="s">
        <v>486</v>
      </c>
      <c r="D5" s="30" t="s">
        <v>26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 t="s">
        <v>21</v>
      </c>
      <c r="R5" s="33">
        <f ca="1">IFERROR(__xludf.DUMMYFUNCTION("IF(REGEXMATCH(Q5,""^\d,\d\d$""),VALUE(Q5),0)"),1.45)</f>
        <v>1.45</v>
      </c>
      <c r="S5" s="21"/>
      <c r="T5" s="22"/>
    </row>
    <row r="6" spans="1:37" ht="18.75" customHeight="1" x14ac:dyDescent="0.25">
      <c r="A6" s="17"/>
      <c r="B6" s="28">
        <v>2</v>
      </c>
      <c r="C6" s="29" t="s">
        <v>487</v>
      </c>
      <c r="D6" s="30" t="s">
        <v>15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 t="s">
        <v>21</v>
      </c>
      <c r="R6" s="33">
        <f ca="1">IFERROR(__xludf.DUMMYFUNCTION("IF(REGEXMATCH(Q6,""^\d,\d\d$""),VALUE(Q6),0)"),1.45)</f>
        <v>1.45</v>
      </c>
      <c r="S6" s="21"/>
      <c r="T6" s="22"/>
    </row>
    <row r="7" spans="1:37" ht="18.75" customHeight="1" x14ac:dyDescent="0.25">
      <c r="A7" s="17"/>
      <c r="B7" s="28">
        <v>3</v>
      </c>
      <c r="C7" s="29" t="s">
        <v>488</v>
      </c>
      <c r="D7" s="30" t="s">
        <v>26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2" t="s">
        <v>43</v>
      </c>
      <c r="R7" s="33">
        <f ca="1">IFERROR(__xludf.DUMMYFUNCTION("IF(REGEXMATCH(Q7,""^\d,\d\d$""),VALUE(Q7),0)"),1.4)</f>
        <v>1.4</v>
      </c>
      <c r="S7" s="21"/>
      <c r="T7" s="22"/>
    </row>
    <row r="8" spans="1:37" ht="18.75" customHeight="1" x14ac:dyDescent="0.25">
      <c r="A8" s="17"/>
      <c r="B8" s="28">
        <v>4</v>
      </c>
      <c r="C8" s="29" t="s">
        <v>489</v>
      </c>
      <c r="D8" s="30" t="s">
        <v>10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2" t="s">
        <v>71</v>
      </c>
      <c r="R8" s="33">
        <f ca="1">IFERROR(__xludf.DUMMYFUNCTION("IF(REGEXMATCH(Q8,""^\d,\d\d$""),VALUE(Q8),0)"),1.3)</f>
        <v>1.3</v>
      </c>
      <c r="S8" s="21"/>
      <c r="T8" s="22"/>
    </row>
    <row r="9" spans="1:37" ht="18.75" customHeight="1" x14ac:dyDescent="0.25">
      <c r="A9" s="17"/>
      <c r="B9" s="28">
        <v>5</v>
      </c>
      <c r="C9" s="29" t="s">
        <v>490</v>
      </c>
      <c r="D9" s="30" t="s">
        <v>26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2" t="s">
        <v>69</v>
      </c>
      <c r="R9" s="33">
        <f ca="1">IFERROR(__xludf.DUMMYFUNCTION("IF(REGEXMATCH(Q9,""^\d,\d\d$""),VALUE(Q9),0)"),1.35)</f>
        <v>1.35</v>
      </c>
      <c r="S9" s="21"/>
      <c r="T9" s="22"/>
    </row>
    <row r="10" spans="1:37" ht="13.2" x14ac:dyDescent="0.25">
      <c r="A10" s="17"/>
      <c r="B10" s="35" t="s">
        <v>22</v>
      </c>
      <c r="C10" s="36"/>
      <c r="D10" s="37" t="s">
        <v>491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21"/>
      <c r="T10" s="22"/>
    </row>
    <row r="11" spans="1:37" ht="13.2" x14ac:dyDescent="0.25">
      <c r="A11" s="17"/>
      <c r="B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/>
      <c r="R11" s="20"/>
      <c r="S11" s="21"/>
      <c r="T11" s="22"/>
    </row>
    <row r="12" spans="1:37" ht="15.6" x14ac:dyDescent="0.25">
      <c r="A12" s="23">
        <v>2</v>
      </c>
      <c r="B12" s="72" t="s">
        <v>8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  <c r="R12" s="24"/>
      <c r="S12" s="25">
        <f ca="1">IF(COUNTIFS(R13:R17,"&gt;0") &gt; 3, FLOOR((SUM(R13:R17)-MIN(R13,R14,R15,R16,R17))/4,0.0001), )</f>
        <v>1.3625</v>
      </c>
      <c r="T12" s="26">
        <f ca="1">IF(S12=0,"",RANK(S12,$S$4:$S$37,))</f>
        <v>2</v>
      </c>
    </row>
    <row r="13" spans="1:37" ht="18.75" customHeight="1" x14ac:dyDescent="0.25">
      <c r="A13" s="17"/>
      <c r="B13" s="28">
        <v>1</v>
      </c>
      <c r="C13" s="29" t="s">
        <v>492</v>
      </c>
      <c r="D13" s="44" t="s">
        <v>15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 t="s">
        <v>21</v>
      </c>
      <c r="R13" s="33">
        <f ca="1">IFERROR(__xludf.DUMMYFUNCTION("IF(REGEXMATCH(Q13,""^\d,\d\d$""),VALUE(Q13),0)"),1.45)</f>
        <v>1.45</v>
      </c>
      <c r="S13" s="21"/>
      <c r="T13" s="22"/>
    </row>
    <row r="14" spans="1:37" ht="18.75" customHeight="1" x14ac:dyDescent="0.25">
      <c r="A14" s="17"/>
      <c r="B14" s="28">
        <v>2</v>
      </c>
      <c r="C14" s="29" t="s">
        <v>493</v>
      </c>
      <c r="D14" s="44" t="s">
        <v>15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 t="s">
        <v>71</v>
      </c>
      <c r="R14" s="33">
        <f ca="1">IFERROR(__xludf.DUMMYFUNCTION("IF(REGEXMATCH(Q14,""^\d,\d\d$""),VALUE(Q14),0)"),1.3)</f>
        <v>1.3</v>
      </c>
      <c r="S14" s="21"/>
      <c r="T14" s="22"/>
    </row>
    <row r="15" spans="1:37" ht="18.75" customHeight="1" x14ac:dyDescent="0.25">
      <c r="A15" s="17"/>
      <c r="B15" s="28">
        <v>3</v>
      </c>
      <c r="C15" s="29" t="s">
        <v>494</v>
      </c>
      <c r="D15" s="44" t="s">
        <v>26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 t="s">
        <v>71</v>
      </c>
      <c r="R15" s="33">
        <f ca="1">IFERROR(__xludf.DUMMYFUNCTION("IF(REGEXMATCH(Q15,""^\d,\d\d$""),VALUE(Q15),0)"),1.3)</f>
        <v>1.3</v>
      </c>
      <c r="S15" s="21"/>
      <c r="T15" s="22"/>
    </row>
    <row r="16" spans="1:37" ht="18.75" customHeight="1" x14ac:dyDescent="0.25">
      <c r="A16" s="17"/>
      <c r="B16" s="28">
        <v>4</v>
      </c>
      <c r="C16" s="29" t="s">
        <v>495</v>
      </c>
      <c r="D16" s="44" t="s">
        <v>18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2" t="s">
        <v>69</v>
      </c>
      <c r="R16" s="33">
        <f ca="1">IFERROR(__xludf.DUMMYFUNCTION("IF(REGEXMATCH(Q16,""^\d,\d\d$""),VALUE(Q16),0)"),1.35)</f>
        <v>1.35</v>
      </c>
      <c r="S16" s="21"/>
      <c r="T16" s="22"/>
    </row>
    <row r="17" spans="1:20" ht="18.75" customHeight="1" x14ac:dyDescent="0.25">
      <c r="A17" s="17"/>
      <c r="B17" s="28">
        <v>5</v>
      </c>
      <c r="C17" s="29" t="s">
        <v>496</v>
      </c>
      <c r="D17" s="44" t="s">
        <v>15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2" t="s">
        <v>69</v>
      </c>
      <c r="R17" s="33">
        <f ca="1">IFERROR(__xludf.DUMMYFUNCTION("IF(REGEXMATCH(Q17,""^\d,\d\d$""),VALUE(Q17),0)"),1.35)</f>
        <v>1.35</v>
      </c>
      <c r="S17" s="21"/>
      <c r="T17" s="22"/>
    </row>
    <row r="18" spans="1:20" ht="13.2" x14ac:dyDescent="0.25">
      <c r="A18" s="17"/>
      <c r="B18" s="35" t="s">
        <v>22</v>
      </c>
      <c r="C18" s="36"/>
      <c r="D18" s="37" t="s">
        <v>23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40"/>
      <c r="S18" s="21"/>
      <c r="T18" s="22"/>
    </row>
    <row r="19" spans="1:20" ht="13.2" x14ac:dyDescent="0.25">
      <c r="A19" s="17"/>
      <c r="B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20"/>
      <c r="S19" s="21"/>
      <c r="T19" s="22"/>
    </row>
    <row r="20" spans="1:20" ht="13.2" x14ac:dyDescent="0.25">
      <c r="A20" s="17"/>
      <c r="B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20"/>
      <c r="S20" s="21"/>
      <c r="T20" s="22"/>
    </row>
    <row r="21" spans="1:20" ht="13.2" x14ac:dyDescent="0.25">
      <c r="A21" s="17"/>
      <c r="B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20"/>
      <c r="S21" s="21"/>
      <c r="T21" s="22"/>
    </row>
    <row r="22" spans="1:20" ht="13.2" x14ac:dyDescent="0.25">
      <c r="A22" s="17"/>
      <c r="B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20"/>
      <c r="S22" s="21"/>
      <c r="T22" s="22"/>
    </row>
    <row r="23" spans="1:20" ht="13.2" x14ac:dyDescent="0.25">
      <c r="A23" s="17"/>
      <c r="B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20"/>
      <c r="S23" s="21"/>
      <c r="T23" s="22"/>
    </row>
    <row r="24" spans="1:20" ht="13.2" x14ac:dyDescent="0.25">
      <c r="A24" s="17"/>
      <c r="B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20"/>
      <c r="S24" s="21"/>
      <c r="T24" s="22"/>
    </row>
    <row r="25" spans="1:20" ht="13.2" x14ac:dyDescent="0.25">
      <c r="A25" s="17"/>
      <c r="B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20"/>
      <c r="S25" s="21"/>
      <c r="T25" s="22"/>
    </row>
    <row r="26" spans="1:20" ht="13.2" x14ac:dyDescent="0.25">
      <c r="A26" s="17"/>
      <c r="B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20"/>
      <c r="S26" s="21"/>
      <c r="T26" s="22"/>
    </row>
    <row r="27" spans="1:20" ht="13.2" x14ac:dyDescent="0.25">
      <c r="A27" s="17"/>
      <c r="B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20"/>
      <c r="S27" s="21"/>
      <c r="T27" s="22"/>
    </row>
    <row r="28" spans="1:20" ht="13.2" x14ac:dyDescent="0.25">
      <c r="A28" s="17"/>
      <c r="B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20"/>
      <c r="S28" s="21"/>
      <c r="T28" s="22"/>
    </row>
    <row r="29" spans="1:20" ht="13.2" x14ac:dyDescent="0.25">
      <c r="A29" s="17"/>
      <c r="B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20"/>
      <c r="S29" s="21"/>
      <c r="T29" s="22"/>
    </row>
    <row r="30" spans="1:20" ht="13.2" x14ac:dyDescent="0.25">
      <c r="A30" s="17"/>
      <c r="B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20"/>
      <c r="S30" s="21"/>
      <c r="T30" s="22"/>
    </row>
    <row r="31" spans="1:20" ht="13.2" x14ac:dyDescent="0.25">
      <c r="A31" s="17"/>
      <c r="B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21"/>
      <c r="T31" s="22"/>
    </row>
    <row r="32" spans="1:20" ht="13.2" x14ac:dyDescent="0.25">
      <c r="A32" s="17"/>
      <c r="B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  <c r="R32" s="20"/>
      <c r="S32" s="21"/>
      <c r="T32" s="22"/>
    </row>
    <row r="33" spans="1:20" ht="13.2" x14ac:dyDescent="0.25">
      <c r="A33" s="17"/>
      <c r="B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  <c r="R33" s="20"/>
      <c r="S33" s="21"/>
      <c r="T33" s="22"/>
    </row>
    <row r="34" spans="1:20" ht="13.2" x14ac:dyDescent="0.25">
      <c r="A34" s="17"/>
      <c r="B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21"/>
      <c r="T34" s="22"/>
    </row>
    <row r="35" spans="1:20" ht="13.2" x14ac:dyDescent="0.25">
      <c r="A35" s="17"/>
      <c r="B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20"/>
      <c r="S35" s="21"/>
      <c r="T35" s="22"/>
    </row>
    <row r="36" spans="1:20" ht="13.2" x14ac:dyDescent="0.25">
      <c r="A36" s="17"/>
      <c r="B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20"/>
      <c r="S36" s="21"/>
      <c r="T36" s="22"/>
    </row>
    <row r="37" spans="1:20" ht="13.2" x14ac:dyDescent="0.25">
      <c r="A37" s="17"/>
      <c r="B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20"/>
      <c r="S37" s="21"/>
      <c r="T37" s="22"/>
    </row>
    <row r="38" spans="1:20" ht="13.2" x14ac:dyDescent="0.25">
      <c r="A38" s="17"/>
      <c r="B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20"/>
      <c r="S38" s="21"/>
      <c r="T38" s="22"/>
    </row>
    <row r="39" spans="1:20" ht="13.2" x14ac:dyDescent="0.25">
      <c r="A39" s="17"/>
      <c r="B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20"/>
      <c r="S39" s="21"/>
      <c r="T39" s="22"/>
    </row>
    <row r="40" spans="1:20" ht="13.2" x14ac:dyDescent="0.25">
      <c r="A40" s="17"/>
      <c r="B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20"/>
      <c r="S40" s="21"/>
      <c r="T40" s="22"/>
    </row>
    <row r="41" spans="1:20" ht="13.2" x14ac:dyDescent="0.25">
      <c r="A41" s="17"/>
      <c r="B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20"/>
      <c r="S41" s="21"/>
      <c r="T41" s="22"/>
    </row>
    <row r="42" spans="1:20" ht="13.2" x14ac:dyDescent="0.25">
      <c r="A42" s="17"/>
      <c r="B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21"/>
      <c r="T42" s="22"/>
    </row>
    <row r="43" spans="1:20" ht="13.2" x14ac:dyDescent="0.25">
      <c r="A43" s="17"/>
      <c r="B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21"/>
      <c r="T43" s="22"/>
    </row>
    <row r="44" spans="1:20" ht="13.2" x14ac:dyDescent="0.25">
      <c r="A44" s="17"/>
      <c r="B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21"/>
      <c r="T44" s="22"/>
    </row>
    <row r="45" spans="1:20" ht="13.2" x14ac:dyDescent="0.25">
      <c r="A45" s="17"/>
      <c r="B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21"/>
      <c r="T45" s="22"/>
    </row>
    <row r="46" spans="1:20" ht="13.2" x14ac:dyDescent="0.25">
      <c r="A46" s="17"/>
      <c r="B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21"/>
      <c r="T46" s="22"/>
    </row>
    <row r="47" spans="1:20" ht="13.2" x14ac:dyDescent="0.25">
      <c r="A47" s="17"/>
      <c r="B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20"/>
      <c r="S47" s="21"/>
      <c r="T47" s="22"/>
    </row>
    <row r="48" spans="1:20" ht="13.2" x14ac:dyDescent="0.25">
      <c r="A48" s="17"/>
      <c r="B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20"/>
      <c r="S48" s="21"/>
      <c r="T48" s="22"/>
    </row>
    <row r="49" spans="1:20" ht="13.2" x14ac:dyDescent="0.25">
      <c r="A49" s="17"/>
      <c r="B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20"/>
      <c r="S49" s="21"/>
      <c r="T49" s="22"/>
    </row>
    <row r="50" spans="1:20" ht="13.2" x14ac:dyDescent="0.25">
      <c r="A50" s="17"/>
      <c r="B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20"/>
      <c r="S50" s="21"/>
      <c r="T50" s="22"/>
    </row>
    <row r="51" spans="1:20" ht="13.2" x14ac:dyDescent="0.25">
      <c r="A51" s="17"/>
      <c r="B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20"/>
      <c r="S51" s="21"/>
      <c r="T51" s="22"/>
    </row>
    <row r="52" spans="1:20" ht="13.2" x14ac:dyDescent="0.25">
      <c r="A52" s="17"/>
      <c r="B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  <c r="R52" s="20"/>
      <c r="S52" s="21"/>
      <c r="T52" s="22"/>
    </row>
    <row r="53" spans="1:20" ht="13.2" x14ac:dyDescent="0.25">
      <c r="A53" s="17"/>
      <c r="B53" s="1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/>
      <c r="R53" s="20"/>
      <c r="S53" s="21"/>
      <c r="T53" s="22"/>
    </row>
    <row r="54" spans="1:20" ht="13.2" x14ac:dyDescent="0.25">
      <c r="A54" s="17"/>
      <c r="B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20"/>
      <c r="S54" s="21"/>
      <c r="T54" s="22"/>
    </row>
    <row r="55" spans="1:20" ht="13.2" x14ac:dyDescent="0.25">
      <c r="A55" s="17"/>
      <c r="B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  <c r="R55" s="20"/>
      <c r="S55" s="21"/>
      <c r="T55" s="22"/>
    </row>
    <row r="56" spans="1:20" ht="13.2" x14ac:dyDescent="0.25">
      <c r="A56" s="17"/>
      <c r="B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/>
      <c r="R56" s="20"/>
      <c r="S56" s="21"/>
      <c r="T56" s="22"/>
    </row>
    <row r="57" spans="1:20" ht="13.2" x14ac:dyDescent="0.25">
      <c r="A57" s="17"/>
      <c r="B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  <c r="R57" s="20"/>
      <c r="S57" s="21"/>
      <c r="T57" s="22"/>
    </row>
    <row r="58" spans="1:20" ht="13.2" x14ac:dyDescent="0.25">
      <c r="A58" s="17"/>
      <c r="B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/>
      <c r="R58" s="20"/>
      <c r="S58" s="21"/>
      <c r="T58" s="22"/>
    </row>
    <row r="59" spans="1:20" ht="13.2" x14ac:dyDescent="0.25">
      <c r="A59" s="17"/>
      <c r="B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20"/>
      <c r="S59" s="21"/>
      <c r="T59" s="22"/>
    </row>
    <row r="60" spans="1:20" ht="13.2" x14ac:dyDescent="0.25">
      <c r="A60" s="17"/>
      <c r="B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20"/>
      <c r="S60" s="21"/>
      <c r="T60" s="22"/>
    </row>
    <row r="61" spans="1:20" ht="13.2" x14ac:dyDescent="0.25">
      <c r="A61" s="17"/>
      <c r="B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/>
      <c r="R61" s="20"/>
      <c r="S61" s="21"/>
      <c r="T61" s="22"/>
    </row>
    <row r="62" spans="1:20" ht="13.2" x14ac:dyDescent="0.25">
      <c r="A62" s="17"/>
      <c r="B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20"/>
      <c r="S62" s="21"/>
      <c r="T62" s="22"/>
    </row>
    <row r="63" spans="1:20" ht="13.2" x14ac:dyDescent="0.25">
      <c r="A63" s="17"/>
      <c r="B63" s="17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  <c r="R63" s="20"/>
      <c r="S63" s="21"/>
      <c r="T63" s="22"/>
    </row>
    <row r="64" spans="1:20" ht="13.2" x14ac:dyDescent="0.25">
      <c r="A64" s="17"/>
      <c r="B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/>
      <c r="R64" s="20"/>
      <c r="S64" s="21"/>
      <c r="T64" s="22"/>
    </row>
    <row r="65" spans="1:20" ht="13.2" x14ac:dyDescent="0.25">
      <c r="A65" s="17"/>
      <c r="B65" s="17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20"/>
      <c r="S65" s="21"/>
      <c r="T65" s="22"/>
    </row>
    <row r="66" spans="1:20" ht="13.2" x14ac:dyDescent="0.25">
      <c r="A66" s="17"/>
      <c r="B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/>
      <c r="R66" s="20"/>
      <c r="S66" s="21"/>
      <c r="T66" s="22"/>
    </row>
    <row r="67" spans="1:20" ht="13.2" x14ac:dyDescent="0.25">
      <c r="A67" s="17"/>
      <c r="B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20"/>
      <c r="S67" s="21"/>
      <c r="T67" s="22"/>
    </row>
    <row r="68" spans="1:20" ht="13.2" x14ac:dyDescent="0.25">
      <c r="A68" s="17"/>
      <c r="B68" s="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20"/>
      <c r="S68" s="21"/>
      <c r="T68" s="22"/>
    </row>
    <row r="69" spans="1:20" ht="13.2" x14ac:dyDescent="0.25">
      <c r="A69" s="17"/>
      <c r="B69" s="17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20"/>
      <c r="S69" s="21"/>
      <c r="T69" s="22"/>
    </row>
    <row r="70" spans="1:20" ht="13.2" x14ac:dyDescent="0.25">
      <c r="A70" s="17"/>
      <c r="B70" s="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20"/>
      <c r="S70" s="21"/>
      <c r="T70" s="22"/>
    </row>
    <row r="71" spans="1:20" ht="13.2" x14ac:dyDescent="0.25">
      <c r="A71" s="17"/>
      <c r="B71" s="17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20"/>
      <c r="S71" s="21"/>
      <c r="T71" s="22"/>
    </row>
    <row r="72" spans="1:20" ht="13.2" x14ac:dyDescent="0.25">
      <c r="A72" s="17"/>
      <c r="B72" s="17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9"/>
      <c r="R72" s="20"/>
      <c r="S72" s="21"/>
      <c r="T72" s="22"/>
    </row>
    <row r="73" spans="1:20" ht="13.2" x14ac:dyDescent="0.25">
      <c r="A73" s="17"/>
      <c r="B73" s="17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20"/>
      <c r="S73" s="21"/>
      <c r="T73" s="22"/>
    </row>
    <row r="74" spans="1:20" ht="13.2" x14ac:dyDescent="0.25">
      <c r="A74" s="17"/>
      <c r="B74" s="17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9"/>
      <c r="R74" s="20"/>
      <c r="S74" s="21"/>
      <c r="T74" s="22"/>
    </row>
    <row r="75" spans="1:20" ht="13.2" x14ac:dyDescent="0.25">
      <c r="A75" s="17"/>
      <c r="B75" s="17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20"/>
      <c r="S75" s="21"/>
      <c r="T75" s="22"/>
    </row>
    <row r="76" spans="1:20" ht="13.2" x14ac:dyDescent="0.25">
      <c r="A76" s="17"/>
      <c r="B76" s="17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9"/>
      <c r="R76" s="20"/>
      <c r="S76" s="21"/>
      <c r="T76" s="22"/>
    </row>
    <row r="77" spans="1:20" ht="13.2" x14ac:dyDescent="0.25">
      <c r="A77" s="17"/>
      <c r="B77" s="17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9"/>
      <c r="R77" s="20"/>
      <c r="S77" s="21"/>
      <c r="T77" s="22"/>
    </row>
    <row r="78" spans="1:20" ht="13.2" x14ac:dyDescent="0.25">
      <c r="A78" s="17"/>
      <c r="B78" s="17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9"/>
      <c r="R78" s="20"/>
      <c r="S78" s="21"/>
      <c r="T78" s="22"/>
    </row>
    <row r="79" spans="1:20" ht="13.2" x14ac:dyDescent="0.25">
      <c r="A79" s="17"/>
      <c r="B79" s="17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20"/>
      <c r="S79" s="21"/>
      <c r="T79" s="22"/>
    </row>
    <row r="80" spans="1:20" ht="13.2" x14ac:dyDescent="0.25">
      <c r="A80" s="17"/>
      <c r="B80" s="1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20"/>
      <c r="S80" s="21"/>
      <c r="T80" s="22"/>
    </row>
    <row r="81" spans="1:20" ht="13.2" x14ac:dyDescent="0.25">
      <c r="A81" s="17"/>
      <c r="B81" s="17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  <c r="R81" s="20"/>
      <c r="S81" s="21"/>
      <c r="T81" s="22"/>
    </row>
    <row r="82" spans="1:20" ht="13.2" x14ac:dyDescent="0.25">
      <c r="A82" s="17"/>
      <c r="B82" s="17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  <c r="R82" s="20"/>
      <c r="S82" s="21"/>
      <c r="T82" s="22"/>
    </row>
    <row r="83" spans="1:20" ht="13.2" x14ac:dyDescent="0.25">
      <c r="A83" s="17"/>
      <c r="B83" s="17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20"/>
      <c r="S83" s="21"/>
      <c r="T83" s="22"/>
    </row>
    <row r="84" spans="1:20" ht="13.2" x14ac:dyDescent="0.25">
      <c r="A84" s="17"/>
      <c r="B84" s="17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9"/>
      <c r="R84" s="20"/>
      <c r="S84" s="21"/>
      <c r="T84" s="22"/>
    </row>
    <row r="85" spans="1:20" ht="13.2" x14ac:dyDescent="0.25">
      <c r="A85" s="17"/>
      <c r="B85" s="17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9"/>
      <c r="R85" s="20"/>
      <c r="S85" s="21"/>
      <c r="T85" s="22"/>
    </row>
    <row r="86" spans="1:20" ht="13.2" x14ac:dyDescent="0.25">
      <c r="A86" s="17"/>
      <c r="B86" s="17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9"/>
      <c r="R86" s="20"/>
      <c r="S86" s="21"/>
      <c r="T86" s="22"/>
    </row>
    <row r="87" spans="1:20" ht="13.2" x14ac:dyDescent="0.25">
      <c r="A87" s="17"/>
      <c r="B87" s="17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  <c r="R87" s="20"/>
      <c r="S87" s="21"/>
      <c r="T87" s="22"/>
    </row>
    <row r="88" spans="1:20" ht="13.2" x14ac:dyDescent="0.25">
      <c r="A88" s="17"/>
      <c r="B88" s="17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9"/>
      <c r="R88" s="20"/>
      <c r="S88" s="21"/>
      <c r="T88" s="22"/>
    </row>
    <row r="89" spans="1:20" ht="13.2" x14ac:dyDescent="0.25">
      <c r="A89" s="17"/>
      <c r="B89" s="1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9"/>
      <c r="R89" s="20"/>
      <c r="S89" s="21"/>
      <c r="T89" s="22"/>
    </row>
    <row r="90" spans="1:20" ht="13.2" x14ac:dyDescent="0.25">
      <c r="A90" s="17"/>
      <c r="B90" s="17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9"/>
      <c r="R90" s="20"/>
      <c r="S90" s="21"/>
      <c r="T90" s="22"/>
    </row>
    <row r="91" spans="1:20" ht="13.2" x14ac:dyDescent="0.25">
      <c r="A91" s="17"/>
      <c r="B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20"/>
      <c r="S91" s="21"/>
      <c r="T91" s="22"/>
    </row>
    <row r="92" spans="1:20" ht="13.2" x14ac:dyDescent="0.25">
      <c r="A92" s="17"/>
      <c r="B92" s="17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9"/>
      <c r="R92" s="20"/>
      <c r="S92" s="21"/>
      <c r="T92" s="22"/>
    </row>
    <row r="93" spans="1:20" ht="13.2" x14ac:dyDescent="0.25">
      <c r="A93" s="17"/>
      <c r="B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20"/>
      <c r="S93" s="21"/>
      <c r="T93" s="22"/>
    </row>
    <row r="94" spans="1:20" ht="13.2" x14ac:dyDescent="0.25">
      <c r="A94" s="17"/>
      <c r="B94" s="17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9"/>
      <c r="R94" s="20"/>
      <c r="S94" s="21"/>
      <c r="T94" s="22"/>
    </row>
    <row r="95" spans="1:20" ht="13.2" x14ac:dyDescent="0.25">
      <c r="A95" s="17"/>
      <c r="B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9"/>
      <c r="R95" s="20"/>
      <c r="S95" s="21"/>
      <c r="T95" s="22"/>
    </row>
    <row r="96" spans="1:20" ht="13.2" x14ac:dyDescent="0.25">
      <c r="A96" s="17"/>
      <c r="B96" s="17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9"/>
      <c r="R96" s="20"/>
      <c r="S96" s="21"/>
      <c r="T96" s="22"/>
    </row>
    <row r="97" spans="1:20" ht="13.2" x14ac:dyDescent="0.25">
      <c r="A97" s="17"/>
      <c r="B97" s="1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9"/>
      <c r="R97" s="20"/>
      <c r="S97" s="21"/>
      <c r="T97" s="22"/>
    </row>
    <row r="98" spans="1:20" ht="13.2" x14ac:dyDescent="0.25">
      <c r="A98" s="17"/>
      <c r="B98" s="17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20"/>
      <c r="S98" s="21"/>
      <c r="T98" s="22"/>
    </row>
    <row r="99" spans="1:20" ht="13.2" x14ac:dyDescent="0.25">
      <c r="A99" s="17"/>
      <c r="B99" s="17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20"/>
      <c r="S99" s="21"/>
      <c r="T99" s="22"/>
    </row>
    <row r="100" spans="1:20" ht="13.2" x14ac:dyDescent="0.25">
      <c r="A100" s="17"/>
      <c r="B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9"/>
      <c r="R100" s="20"/>
      <c r="S100" s="21"/>
      <c r="T100" s="22"/>
    </row>
    <row r="101" spans="1:20" ht="13.2" x14ac:dyDescent="0.25">
      <c r="A101" s="17"/>
      <c r="B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9"/>
      <c r="R101" s="20"/>
      <c r="S101" s="21"/>
      <c r="T101" s="22"/>
    </row>
    <row r="102" spans="1:20" ht="13.2" x14ac:dyDescent="0.25">
      <c r="A102" s="17"/>
      <c r="B102" s="17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9"/>
      <c r="R102" s="20"/>
      <c r="S102" s="21"/>
      <c r="T102" s="22"/>
    </row>
    <row r="103" spans="1:20" ht="13.2" x14ac:dyDescent="0.25">
      <c r="A103" s="17"/>
      <c r="B103" s="17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9"/>
      <c r="R103" s="20"/>
      <c r="S103" s="21"/>
      <c r="T103" s="22"/>
    </row>
    <row r="104" spans="1:20" ht="13.2" x14ac:dyDescent="0.25">
      <c r="A104" s="17"/>
      <c r="B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9"/>
      <c r="R104" s="20"/>
      <c r="S104" s="21"/>
      <c r="T104" s="22"/>
    </row>
    <row r="105" spans="1:20" ht="13.2" x14ac:dyDescent="0.25">
      <c r="A105" s="17"/>
      <c r="B105" s="17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20"/>
      <c r="S105" s="21"/>
      <c r="T105" s="22"/>
    </row>
    <row r="106" spans="1:20" ht="13.2" x14ac:dyDescent="0.25">
      <c r="A106" s="17"/>
      <c r="B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9"/>
      <c r="R106" s="20"/>
      <c r="S106" s="21"/>
      <c r="T106" s="22"/>
    </row>
    <row r="107" spans="1:20" ht="13.2" x14ac:dyDescent="0.25">
      <c r="A107" s="17"/>
      <c r="B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20"/>
      <c r="S107" s="21"/>
      <c r="T107" s="22"/>
    </row>
    <row r="108" spans="1:20" ht="13.2" x14ac:dyDescent="0.25">
      <c r="A108" s="17"/>
      <c r="B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9"/>
      <c r="R108" s="20"/>
      <c r="S108" s="21"/>
      <c r="T108" s="22"/>
    </row>
    <row r="109" spans="1:20" ht="13.2" x14ac:dyDescent="0.25">
      <c r="A109" s="17"/>
      <c r="B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9"/>
      <c r="R109" s="20"/>
      <c r="S109" s="21"/>
      <c r="T109" s="22"/>
    </row>
    <row r="110" spans="1:20" ht="13.2" x14ac:dyDescent="0.25">
      <c r="A110" s="17"/>
      <c r="B110" s="17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9"/>
      <c r="R110" s="20"/>
      <c r="S110" s="21"/>
      <c r="T110" s="22"/>
    </row>
    <row r="111" spans="1:20" ht="13.2" x14ac:dyDescent="0.25">
      <c r="A111" s="17"/>
      <c r="B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  <c r="R111" s="20"/>
      <c r="S111" s="21"/>
      <c r="T111" s="22"/>
    </row>
    <row r="112" spans="1:20" ht="13.2" x14ac:dyDescent="0.25">
      <c r="A112" s="17"/>
      <c r="B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9"/>
      <c r="R112" s="20"/>
      <c r="S112" s="21"/>
      <c r="T112" s="22"/>
    </row>
    <row r="113" spans="1:20" ht="13.2" x14ac:dyDescent="0.25">
      <c r="A113" s="17"/>
      <c r="B113" s="17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9"/>
      <c r="R113" s="20"/>
      <c r="S113" s="21"/>
      <c r="T113" s="22"/>
    </row>
    <row r="114" spans="1:20" ht="13.2" x14ac:dyDescent="0.25">
      <c r="A114" s="17"/>
      <c r="B114" s="17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20"/>
      <c r="S114" s="21"/>
      <c r="T114" s="22"/>
    </row>
    <row r="115" spans="1:20" ht="13.2" x14ac:dyDescent="0.25">
      <c r="A115" s="17"/>
      <c r="B115" s="17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20"/>
      <c r="S115" s="21"/>
      <c r="T115" s="22"/>
    </row>
    <row r="116" spans="1:20" ht="13.2" x14ac:dyDescent="0.25">
      <c r="A116" s="17"/>
      <c r="B116" s="17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20"/>
      <c r="S116" s="21"/>
      <c r="T116" s="22"/>
    </row>
    <row r="117" spans="1:20" ht="13.2" x14ac:dyDescent="0.25">
      <c r="A117" s="17"/>
      <c r="B117" s="17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  <c r="R117" s="20"/>
      <c r="S117" s="21"/>
      <c r="T117" s="22"/>
    </row>
    <row r="118" spans="1:20" ht="13.2" x14ac:dyDescent="0.25">
      <c r="A118" s="17"/>
      <c r="B118" s="17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20"/>
      <c r="S118" s="21"/>
      <c r="T118" s="22"/>
    </row>
    <row r="119" spans="1:20" ht="13.2" x14ac:dyDescent="0.25">
      <c r="A119" s="17"/>
      <c r="B119" s="17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20"/>
      <c r="S119" s="21"/>
      <c r="T119" s="22"/>
    </row>
    <row r="120" spans="1:20" ht="13.2" x14ac:dyDescent="0.25">
      <c r="A120" s="17"/>
      <c r="B120" s="17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20"/>
      <c r="S120" s="21"/>
      <c r="T120" s="22"/>
    </row>
    <row r="121" spans="1:20" ht="13.2" x14ac:dyDescent="0.25">
      <c r="A121" s="17"/>
      <c r="B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20"/>
      <c r="S121" s="21"/>
      <c r="T121" s="22"/>
    </row>
    <row r="122" spans="1:20" ht="13.2" x14ac:dyDescent="0.25">
      <c r="A122" s="17"/>
      <c r="B122" s="1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9"/>
      <c r="R122" s="20"/>
      <c r="S122" s="21"/>
      <c r="T122" s="22"/>
    </row>
    <row r="123" spans="1:20" ht="13.2" x14ac:dyDescent="0.25">
      <c r="A123" s="17"/>
      <c r="B123" s="1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20"/>
      <c r="S123" s="21"/>
      <c r="T123" s="22"/>
    </row>
    <row r="124" spans="1:20" ht="13.2" x14ac:dyDescent="0.25">
      <c r="A124" s="17"/>
      <c r="B124" s="17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9"/>
      <c r="R124" s="20"/>
      <c r="S124" s="21"/>
      <c r="T124" s="22"/>
    </row>
    <row r="125" spans="1:20" ht="13.2" x14ac:dyDescent="0.25">
      <c r="A125" s="17"/>
      <c r="B125" s="17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9"/>
      <c r="R125" s="20"/>
      <c r="S125" s="21"/>
      <c r="T125" s="22"/>
    </row>
    <row r="126" spans="1:20" ht="13.2" x14ac:dyDescent="0.25">
      <c r="A126" s="17"/>
      <c r="B126" s="17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20"/>
      <c r="S126" s="21"/>
      <c r="T126" s="22"/>
    </row>
    <row r="127" spans="1:20" ht="13.2" x14ac:dyDescent="0.25">
      <c r="A127" s="17"/>
      <c r="B127" s="17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9"/>
      <c r="R127" s="20"/>
      <c r="S127" s="21"/>
      <c r="T127" s="22"/>
    </row>
    <row r="128" spans="1:20" ht="13.2" x14ac:dyDescent="0.25">
      <c r="A128" s="17"/>
      <c r="B128" s="17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9"/>
      <c r="R128" s="20"/>
      <c r="S128" s="21"/>
      <c r="T128" s="22"/>
    </row>
    <row r="129" spans="1:20" ht="13.2" x14ac:dyDescent="0.25">
      <c r="A129" s="17"/>
      <c r="B129" s="17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9"/>
      <c r="R129" s="20"/>
      <c r="S129" s="21"/>
      <c r="T129" s="22"/>
    </row>
    <row r="130" spans="1:20" ht="13.2" x14ac:dyDescent="0.25">
      <c r="A130" s="17"/>
      <c r="B130" s="17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9"/>
      <c r="R130" s="20"/>
      <c r="S130" s="21"/>
      <c r="T130" s="22"/>
    </row>
    <row r="131" spans="1:20" ht="13.2" x14ac:dyDescent="0.25">
      <c r="A131" s="17"/>
      <c r="B131" s="17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20"/>
      <c r="S131" s="21"/>
      <c r="T131" s="22"/>
    </row>
    <row r="132" spans="1:20" ht="13.2" x14ac:dyDescent="0.25">
      <c r="A132" s="17"/>
      <c r="B132" s="17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9"/>
      <c r="R132" s="20"/>
      <c r="S132" s="21"/>
      <c r="T132" s="22"/>
    </row>
    <row r="133" spans="1:20" ht="13.2" x14ac:dyDescent="0.25">
      <c r="A133" s="17"/>
      <c r="B133" s="17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9"/>
      <c r="R133" s="20"/>
      <c r="S133" s="21"/>
      <c r="T133" s="22"/>
    </row>
    <row r="134" spans="1:20" ht="13.2" x14ac:dyDescent="0.25">
      <c r="A134" s="17"/>
      <c r="B134" s="17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9"/>
      <c r="R134" s="20"/>
      <c r="S134" s="21"/>
      <c r="T134" s="22"/>
    </row>
    <row r="135" spans="1:20" ht="13.2" x14ac:dyDescent="0.25">
      <c r="A135" s="17"/>
      <c r="B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  <c r="R135" s="20"/>
      <c r="S135" s="21"/>
      <c r="T135" s="22"/>
    </row>
    <row r="136" spans="1:20" ht="13.2" x14ac:dyDescent="0.25">
      <c r="A136" s="17"/>
      <c r="B136" s="17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9"/>
      <c r="R136" s="20"/>
      <c r="S136" s="21"/>
      <c r="T136" s="22"/>
    </row>
    <row r="137" spans="1:20" ht="13.2" x14ac:dyDescent="0.25">
      <c r="A137" s="17"/>
      <c r="B137" s="17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9"/>
      <c r="R137" s="20"/>
      <c r="S137" s="21"/>
      <c r="T137" s="22"/>
    </row>
    <row r="138" spans="1:20" ht="13.2" x14ac:dyDescent="0.25">
      <c r="A138" s="17"/>
      <c r="B138" s="17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9"/>
      <c r="R138" s="20"/>
      <c r="S138" s="21"/>
      <c r="T138" s="22"/>
    </row>
    <row r="139" spans="1:20" ht="13.2" x14ac:dyDescent="0.25">
      <c r="A139" s="17"/>
      <c r="B139" s="17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20"/>
      <c r="S139" s="21"/>
      <c r="T139" s="22"/>
    </row>
    <row r="140" spans="1:20" ht="13.2" x14ac:dyDescent="0.25">
      <c r="A140" s="17"/>
      <c r="B140" s="17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9"/>
      <c r="R140" s="20"/>
      <c r="S140" s="21"/>
      <c r="T140" s="22"/>
    </row>
    <row r="141" spans="1:20" ht="13.2" x14ac:dyDescent="0.25">
      <c r="A141" s="17"/>
      <c r="B141" s="17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  <c r="R141" s="20"/>
      <c r="S141" s="21"/>
      <c r="T141" s="22"/>
    </row>
    <row r="142" spans="1:20" ht="13.2" x14ac:dyDescent="0.25">
      <c r="A142" s="17"/>
      <c r="B142" s="17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9"/>
      <c r="R142" s="20"/>
      <c r="S142" s="21"/>
      <c r="T142" s="22"/>
    </row>
    <row r="143" spans="1:20" ht="13.2" x14ac:dyDescent="0.25">
      <c r="A143" s="17"/>
      <c r="B143" s="17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9"/>
      <c r="R143" s="20"/>
      <c r="S143" s="21"/>
      <c r="T143" s="22"/>
    </row>
    <row r="144" spans="1:20" ht="13.2" x14ac:dyDescent="0.25">
      <c r="A144" s="17"/>
      <c r="B144" s="17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9"/>
      <c r="R144" s="20"/>
      <c r="S144" s="21"/>
      <c r="T144" s="22"/>
    </row>
    <row r="145" spans="1:20" ht="13.2" x14ac:dyDescent="0.25">
      <c r="A145" s="17"/>
      <c r="B145" s="17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9"/>
      <c r="R145" s="20"/>
      <c r="S145" s="21"/>
      <c r="T145" s="22"/>
    </row>
    <row r="146" spans="1:20" ht="13.2" x14ac:dyDescent="0.25">
      <c r="A146" s="17"/>
      <c r="B146" s="17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9"/>
      <c r="R146" s="20"/>
      <c r="S146" s="21"/>
      <c r="T146" s="22"/>
    </row>
    <row r="147" spans="1:20" ht="13.2" x14ac:dyDescent="0.25">
      <c r="A147" s="17"/>
      <c r="B147" s="17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20"/>
      <c r="S147" s="21"/>
      <c r="T147" s="22"/>
    </row>
    <row r="148" spans="1:20" ht="13.2" x14ac:dyDescent="0.25">
      <c r="A148" s="17"/>
      <c r="B148" s="17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9"/>
      <c r="R148" s="20"/>
      <c r="S148" s="21"/>
      <c r="T148" s="22"/>
    </row>
    <row r="149" spans="1:20" ht="13.2" x14ac:dyDescent="0.25">
      <c r="A149" s="17"/>
      <c r="B149" s="17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9"/>
      <c r="R149" s="20"/>
      <c r="S149" s="21"/>
      <c r="T149" s="22"/>
    </row>
    <row r="150" spans="1:20" ht="13.2" x14ac:dyDescent="0.25">
      <c r="A150" s="17"/>
      <c r="B150" s="17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9"/>
      <c r="R150" s="20"/>
      <c r="S150" s="21"/>
      <c r="T150" s="22"/>
    </row>
    <row r="151" spans="1:20" ht="13.2" x14ac:dyDescent="0.25">
      <c r="A151" s="17"/>
      <c r="B151" s="17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9"/>
      <c r="R151" s="20"/>
      <c r="S151" s="21"/>
      <c r="T151" s="22"/>
    </row>
    <row r="152" spans="1:20" ht="13.2" x14ac:dyDescent="0.25">
      <c r="A152" s="17"/>
      <c r="B152" s="17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9"/>
      <c r="R152" s="20"/>
      <c r="S152" s="21"/>
      <c r="T152" s="22"/>
    </row>
    <row r="153" spans="1:20" ht="13.2" x14ac:dyDescent="0.25">
      <c r="A153" s="17"/>
      <c r="B153" s="17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9"/>
      <c r="R153" s="20"/>
      <c r="S153" s="21"/>
      <c r="T153" s="22"/>
    </row>
    <row r="154" spans="1:20" ht="13.2" x14ac:dyDescent="0.25">
      <c r="A154" s="17"/>
      <c r="B154" s="17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9"/>
      <c r="R154" s="20"/>
      <c r="S154" s="21"/>
      <c r="T154" s="22"/>
    </row>
    <row r="155" spans="1:20" ht="13.2" x14ac:dyDescent="0.25">
      <c r="A155" s="17"/>
      <c r="B155" s="17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20"/>
      <c r="S155" s="21"/>
      <c r="T155" s="22"/>
    </row>
    <row r="156" spans="1:20" ht="13.2" x14ac:dyDescent="0.25">
      <c r="A156" s="17"/>
      <c r="B156" s="17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9"/>
      <c r="R156" s="20"/>
      <c r="S156" s="21"/>
      <c r="T156" s="22"/>
    </row>
    <row r="157" spans="1:20" ht="13.2" x14ac:dyDescent="0.25">
      <c r="A157" s="17"/>
      <c r="B157" s="17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9"/>
      <c r="R157" s="20"/>
      <c r="S157" s="21"/>
      <c r="T157" s="22"/>
    </row>
    <row r="158" spans="1:20" ht="13.2" x14ac:dyDescent="0.25">
      <c r="A158" s="17"/>
      <c r="B158" s="17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9"/>
      <c r="R158" s="20"/>
      <c r="S158" s="21"/>
      <c r="T158" s="22"/>
    </row>
    <row r="159" spans="1:20" ht="13.2" x14ac:dyDescent="0.25">
      <c r="A159" s="17"/>
      <c r="B159" s="17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9"/>
      <c r="R159" s="20"/>
      <c r="S159" s="21"/>
      <c r="T159" s="22"/>
    </row>
    <row r="160" spans="1:20" ht="13.2" x14ac:dyDescent="0.25">
      <c r="A160" s="17"/>
      <c r="B160" s="17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9"/>
      <c r="R160" s="20"/>
      <c r="S160" s="21"/>
      <c r="T160" s="22"/>
    </row>
    <row r="161" spans="1:20" ht="13.2" x14ac:dyDescent="0.25">
      <c r="A161" s="17"/>
      <c r="B161" s="17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9"/>
      <c r="R161" s="20"/>
      <c r="S161" s="21"/>
      <c r="T161" s="22"/>
    </row>
    <row r="162" spans="1:20" ht="13.2" x14ac:dyDescent="0.25">
      <c r="A162" s="17"/>
      <c r="B162" s="17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20"/>
      <c r="S162" s="21"/>
      <c r="T162" s="22"/>
    </row>
    <row r="163" spans="1:20" ht="13.2" x14ac:dyDescent="0.25">
      <c r="A163" s="17"/>
      <c r="B163" s="17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20"/>
      <c r="S163" s="21"/>
      <c r="T163" s="22"/>
    </row>
    <row r="164" spans="1:20" ht="13.2" x14ac:dyDescent="0.25">
      <c r="A164" s="17"/>
      <c r="B164" s="17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9"/>
      <c r="R164" s="20"/>
      <c r="S164" s="21"/>
      <c r="T164" s="22"/>
    </row>
    <row r="165" spans="1:20" ht="13.2" x14ac:dyDescent="0.25">
      <c r="A165" s="17"/>
      <c r="B165" s="17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9"/>
      <c r="R165" s="20"/>
      <c r="S165" s="21"/>
      <c r="T165" s="22"/>
    </row>
    <row r="166" spans="1:20" ht="13.2" x14ac:dyDescent="0.25">
      <c r="A166" s="17"/>
      <c r="B166" s="17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9"/>
      <c r="R166" s="20"/>
      <c r="S166" s="21"/>
      <c r="T166" s="22"/>
    </row>
    <row r="167" spans="1:20" ht="13.2" x14ac:dyDescent="0.25">
      <c r="A167" s="17"/>
      <c r="B167" s="17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9"/>
      <c r="R167" s="20"/>
      <c r="S167" s="21"/>
      <c r="T167" s="22"/>
    </row>
    <row r="168" spans="1:20" ht="13.2" x14ac:dyDescent="0.25">
      <c r="A168" s="17"/>
      <c r="B168" s="17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9"/>
      <c r="R168" s="20"/>
      <c r="S168" s="21"/>
      <c r="T168" s="22"/>
    </row>
    <row r="169" spans="1:20" ht="13.2" x14ac:dyDescent="0.25">
      <c r="A169" s="17"/>
      <c r="B169" s="17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9"/>
      <c r="R169" s="20"/>
      <c r="S169" s="21"/>
      <c r="T169" s="22"/>
    </row>
    <row r="170" spans="1:20" ht="13.2" x14ac:dyDescent="0.25">
      <c r="A170" s="17"/>
      <c r="B170" s="17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9"/>
      <c r="R170" s="20"/>
      <c r="S170" s="21"/>
      <c r="T170" s="22"/>
    </row>
    <row r="171" spans="1:20" ht="13.2" x14ac:dyDescent="0.25">
      <c r="A171" s="17"/>
      <c r="B171" s="17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20"/>
      <c r="S171" s="21"/>
      <c r="T171" s="22"/>
    </row>
    <row r="172" spans="1:20" ht="13.2" x14ac:dyDescent="0.25">
      <c r="A172" s="17"/>
      <c r="B172" s="17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9"/>
      <c r="R172" s="20"/>
      <c r="S172" s="21"/>
      <c r="T172" s="22"/>
    </row>
    <row r="173" spans="1:20" ht="13.2" x14ac:dyDescent="0.25">
      <c r="A173" s="17"/>
      <c r="B173" s="17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9"/>
      <c r="R173" s="20"/>
      <c r="S173" s="21"/>
      <c r="T173" s="22"/>
    </row>
    <row r="174" spans="1:20" ht="13.2" x14ac:dyDescent="0.25">
      <c r="A174" s="17"/>
      <c r="B174" s="17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9"/>
      <c r="R174" s="20"/>
      <c r="S174" s="21"/>
      <c r="T174" s="22"/>
    </row>
    <row r="175" spans="1:20" ht="13.2" x14ac:dyDescent="0.25">
      <c r="A175" s="17"/>
      <c r="B175" s="17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9"/>
      <c r="R175" s="20"/>
      <c r="S175" s="21"/>
      <c r="T175" s="22"/>
    </row>
    <row r="176" spans="1:20" ht="13.2" x14ac:dyDescent="0.25">
      <c r="A176" s="17"/>
      <c r="B176" s="17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9"/>
      <c r="R176" s="20"/>
      <c r="S176" s="21"/>
      <c r="T176" s="22"/>
    </row>
    <row r="177" spans="1:20" ht="13.2" x14ac:dyDescent="0.25">
      <c r="A177" s="17"/>
      <c r="B177" s="17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9"/>
      <c r="R177" s="20"/>
      <c r="S177" s="21"/>
      <c r="T177" s="22"/>
    </row>
    <row r="178" spans="1:20" ht="13.2" x14ac:dyDescent="0.25">
      <c r="A178" s="17"/>
      <c r="B178" s="17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9"/>
      <c r="R178" s="20"/>
      <c r="S178" s="21"/>
      <c r="T178" s="22"/>
    </row>
    <row r="179" spans="1:20" ht="13.2" x14ac:dyDescent="0.25">
      <c r="A179" s="17"/>
      <c r="B179" s="17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20"/>
      <c r="S179" s="21"/>
      <c r="T179" s="22"/>
    </row>
    <row r="180" spans="1:20" ht="13.2" x14ac:dyDescent="0.25">
      <c r="A180" s="17"/>
      <c r="B180" s="17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9"/>
      <c r="R180" s="20"/>
      <c r="S180" s="21"/>
      <c r="T180" s="22"/>
    </row>
    <row r="181" spans="1:20" ht="13.2" x14ac:dyDescent="0.25">
      <c r="A181" s="17"/>
      <c r="B181" s="17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20"/>
      <c r="S181" s="21"/>
      <c r="T181" s="22"/>
    </row>
    <row r="182" spans="1:20" ht="13.2" x14ac:dyDescent="0.25">
      <c r="A182" s="17"/>
      <c r="B182" s="17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9"/>
      <c r="R182" s="20"/>
      <c r="S182" s="21"/>
      <c r="T182" s="22"/>
    </row>
    <row r="183" spans="1:20" ht="13.2" x14ac:dyDescent="0.25">
      <c r="A183" s="17"/>
      <c r="B183" s="17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9"/>
      <c r="R183" s="20"/>
      <c r="S183" s="21"/>
      <c r="T183" s="22"/>
    </row>
    <row r="184" spans="1:20" ht="13.2" x14ac:dyDescent="0.25">
      <c r="A184" s="17"/>
      <c r="B184" s="17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9"/>
      <c r="R184" s="20"/>
      <c r="S184" s="21"/>
      <c r="T184" s="22"/>
    </row>
    <row r="185" spans="1:20" ht="13.2" x14ac:dyDescent="0.25">
      <c r="A185" s="17"/>
      <c r="B185" s="17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9"/>
      <c r="R185" s="20"/>
      <c r="S185" s="21"/>
      <c r="T185" s="22"/>
    </row>
    <row r="186" spans="1:20" ht="13.2" x14ac:dyDescent="0.25">
      <c r="A186" s="17"/>
      <c r="B186" s="17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9"/>
      <c r="R186" s="20"/>
      <c r="S186" s="21"/>
      <c r="T186" s="22"/>
    </row>
    <row r="187" spans="1:20" ht="13.2" x14ac:dyDescent="0.25">
      <c r="A187" s="17"/>
      <c r="B187" s="17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9"/>
      <c r="R187" s="20"/>
      <c r="S187" s="21"/>
      <c r="T187" s="22"/>
    </row>
    <row r="188" spans="1:20" ht="13.2" x14ac:dyDescent="0.25">
      <c r="A188" s="17"/>
      <c r="B188" s="17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9"/>
      <c r="R188" s="20"/>
      <c r="S188" s="21"/>
      <c r="T188" s="22"/>
    </row>
    <row r="189" spans="1:20" ht="13.2" x14ac:dyDescent="0.25">
      <c r="A189" s="17"/>
      <c r="B189" s="17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9"/>
      <c r="R189" s="20"/>
      <c r="S189" s="21"/>
      <c r="T189" s="22"/>
    </row>
    <row r="190" spans="1:20" ht="13.2" x14ac:dyDescent="0.25">
      <c r="A190" s="17"/>
      <c r="B190" s="17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9"/>
      <c r="R190" s="20"/>
      <c r="S190" s="21"/>
      <c r="T190" s="22"/>
    </row>
    <row r="191" spans="1:20" ht="13.2" x14ac:dyDescent="0.25">
      <c r="A191" s="17"/>
      <c r="B191" s="17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9"/>
      <c r="R191" s="20"/>
      <c r="S191" s="21"/>
      <c r="T191" s="22"/>
    </row>
    <row r="192" spans="1:20" ht="13.2" x14ac:dyDescent="0.25">
      <c r="A192" s="17"/>
      <c r="B192" s="17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9"/>
      <c r="R192" s="20"/>
      <c r="S192" s="21"/>
      <c r="T192" s="22"/>
    </row>
    <row r="193" spans="1:20" ht="13.2" x14ac:dyDescent="0.25">
      <c r="A193" s="17"/>
      <c r="B193" s="17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9"/>
      <c r="R193" s="20"/>
      <c r="S193" s="21"/>
      <c r="T193" s="22"/>
    </row>
    <row r="194" spans="1:20" ht="13.2" x14ac:dyDescent="0.25">
      <c r="A194" s="17"/>
      <c r="B194" s="17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9"/>
      <c r="R194" s="20"/>
      <c r="S194" s="21"/>
      <c r="T194" s="22"/>
    </row>
    <row r="195" spans="1:20" ht="13.2" x14ac:dyDescent="0.25">
      <c r="A195" s="17"/>
      <c r="B195" s="17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9"/>
      <c r="R195" s="20"/>
      <c r="S195" s="21"/>
      <c r="T195" s="22"/>
    </row>
    <row r="196" spans="1:20" ht="13.2" x14ac:dyDescent="0.25">
      <c r="A196" s="17"/>
      <c r="B196" s="17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9"/>
      <c r="R196" s="20"/>
      <c r="S196" s="21"/>
      <c r="T196" s="22"/>
    </row>
    <row r="197" spans="1:20" ht="13.2" x14ac:dyDescent="0.25">
      <c r="A197" s="17"/>
      <c r="B197" s="17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9"/>
      <c r="R197" s="20"/>
      <c r="S197" s="21"/>
      <c r="T197" s="22"/>
    </row>
    <row r="198" spans="1:20" ht="13.2" x14ac:dyDescent="0.25">
      <c r="A198" s="17"/>
      <c r="B198" s="17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9"/>
      <c r="R198" s="20"/>
      <c r="S198" s="21"/>
      <c r="T198" s="22"/>
    </row>
    <row r="199" spans="1:20" ht="13.2" x14ac:dyDescent="0.25">
      <c r="A199" s="17"/>
      <c r="B199" s="17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9"/>
      <c r="R199" s="20"/>
      <c r="S199" s="21"/>
      <c r="T199" s="22"/>
    </row>
    <row r="200" spans="1:20" ht="13.2" x14ac:dyDescent="0.25">
      <c r="A200" s="17"/>
      <c r="B200" s="17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9"/>
      <c r="R200" s="20"/>
      <c r="S200" s="21"/>
      <c r="T200" s="22"/>
    </row>
    <row r="201" spans="1:20" ht="13.2" x14ac:dyDescent="0.25">
      <c r="A201" s="17"/>
      <c r="B201" s="17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20"/>
      <c r="S201" s="21"/>
      <c r="T201" s="22"/>
    </row>
    <row r="202" spans="1:20" ht="13.2" x14ac:dyDescent="0.25">
      <c r="A202" s="17"/>
      <c r="B202" s="17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9"/>
      <c r="R202" s="20"/>
      <c r="S202" s="21"/>
      <c r="T202" s="22"/>
    </row>
    <row r="203" spans="1:20" ht="13.2" x14ac:dyDescent="0.25">
      <c r="A203" s="17"/>
      <c r="B203" s="17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20"/>
      <c r="S203" s="21"/>
      <c r="T203" s="22"/>
    </row>
    <row r="204" spans="1:20" ht="13.2" x14ac:dyDescent="0.25">
      <c r="A204" s="17"/>
      <c r="B204" s="17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20"/>
      <c r="S204" s="21"/>
      <c r="T204" s="22"/>
    </row>
    <row r="205" spans="1:20" ht="13.2" x14ac:dyDescent="0.25">
      <c r="A205" s="17"/>
      <c r="B205" s="17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20"/>
      <c r="S205" s="21"/>
      <c r="T205" s="22"/>
    </row>
    <row r="206" spans="1:20" ht="13.2" x14ac:dyDescent="0.25">
      <c r="A206" s="17"/>
      <c r="B206" s="17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20"/>
      <c r="S206" s="21"/>
      <c r="T206" s="22"/>
    </row>
    <row r="207" spans="1:20" ht="13.2" x14ac:dyDescent="0.25">
      <c r="A207" s="17"/>
      <c r="B207" s="17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20"/>
      <c r="S207" s="21"/>
      <c r="T207" s="22"/>
    </row>
    <row r="208" spans="1:20" ht="13.2" x14ac:dyDescent="0.25">
      <c r="A208" s="17"/>
      <c r="B208" s="17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20"/>
      <c r="S208" s="21"/>
      <c r="T208" s="22"/>
    </row>
    <row r="209" spans="1:20" ht="13.2" x14ac:dyDescent="0.25">
      <c r="A209" s="17"/>
      <c r="B209" s="17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20"/>
      <c r="S209" s="21"/>
      <c r="T209" s="22"/>
    </row>
    <row r="210" spans="1:20" ht="13.2" x14ac:dyDescent="0.25">
      <c r="A210" s="17"/>
      <c r="B210" s="17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20"/>
      <c r="S210" s="21"/>
      <c r="T210" s="22"/>
    </row>
    <row r="211" spans="1:20" ht="13.2" x14ac:dyDescent="0.25">
      <c r="A211" s="17"/>
      <c r="B211" s="17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20"/>
      <c r="S211" s="21"/>
      <c r="T211" s="22"/>
    </row>
    <row r="212" spans="1:20" ht="13.2" x14ac:dyDescent="0.25">
      <c r="A212" s="17"/>
      <c r="B212" s="17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20"/>
      <c r="S212" s="21"/>
      <c r="T212" s="22"/>
    </row>
    <row r="213" spans="1:20" ht="13.2" x14ac:dyDescent="0.25">
      <c r="A213" s="17"/>
      <c r="B213" s="17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20"/>
      <c r="S213" s="21"/>
      <c r="T213" s="22"/>
    </row>
    <row r="214" spans="1:20" ht="13.2" x14ac:dyDescent="0.25">
      <c r="A214" s="17"/>
      <c r="B214" s="17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20"/>
      <c r="S214" s="21"/>
      <c r="T214" s="22"/>
    </row>
    <row r="215" spans="1:20" ht="13.2" x14ac:dyDescent="0.25">
      <c r="A215" s="17"/>
      <c r="B215" s="17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20"/>
      <c r="S215" s="21"/>
      <c r="T215" s="22"/>
    </row>
    <row r="216" spans="1:20" ht="13.2" x14ac:dyDescent="0.25">
      <c r="A216" s="17"/>
      <c r="B216" s="17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20"/>
      <c r="S216" s="21"/>
      <c r="T216" s="22"/>
    </row>
    <row r="217" spans="1:20" ht="13.2" x14ac:dyDescent="0.25">
      <c r="A217" s="17"/>
      <c r="B217" s="17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20"/>
      <c r="S217" s="21"/>
      <c r="T217" s="22"/>
    </row>
    <row r="218" spans="1:20" ht="13.2" x14ac:dyDescent="0.25">
      <c r="A218" s="17"/>
      <c r="B218" s="17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20"/>
      <c r="S218" s="21"/>
      <c r="T218" s="22"/>
    </row>
    <row r="219" spans="1:20" ht="13.2" x14ac:dyDescent="0.25">
      <c r="A219" s="17"/>
      <c r="B219" s="17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20"/>
      <c r="S219" s="21"/>
      <c r="T219" s="22"/>
    </row>
    <row r="220" spans="1:20" ht="13.2" x14ac:dyDescent="0.25">
      <c r="A220" s="17"/>
      <c r="B220" s="17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20"/>
      <c r="S220" s="21"/>
      <c r="T220" s="22"/>
    </row>
    <row r="221" spans="1:20" ht="13.2" x14ac:dyDescent="0.25">
      <c r="A221" s="17"/>
      <c r="B221" s="17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20"/>
      <c r="S221" s="21"/>
      <c r="T221" s="22"/>
    </row>
    <row r="222" spans="1:20" ht="13.2" x14ac:dyDescent="0.25">
      <c r="A222" s="17"/>
      <c r="B222" s="17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20"/>
      <c r="S222" s="21"/>
      <c r="T222" s="22"/>
    </row>
    <row r="223" spans="1:20" ht="13.2" x14ac:dyDescent="0.25">
      <c r="A223" s="17"/>
      <c r="B223" s="17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20"/>
      <c r="S223" s="21"/>
      <c r="T223" s="22"/>
    </row>
    <row r="224" spans="1:20" ht="13.2" x14ac:dyDescent="0.25">
      <c r="A224" s="17"/>
      <c r="B224" s="17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20"/>
      <c r="S224" s="21"/>
      <c r="T224" s="22"/>
    </row>
    <row r="225" spans="1:20" ht="13.2" x14ac:dyDescent="0.25">
      <c r="A225" s="17"/>
      <c r="B225" s="17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20"/>
      <c r="S225" s="21"/>
      <c r="T225" s="22"/>
    </row>
    <row r="226" spans="1:20" ht="13.2" x14ac:dyDescent="0.25">
      <c r="A226" s="17"/>
      <c r="B226" s="17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20"/>
      <c r="S226" s="21"/>
      <c r="T226" s="22"/>
    </row>
    <row r="227" spans="1:20" ht="13.2" x14ac:dyDescent="0.25">
      <c r="A227" s="17"/>
      <c r="B227" s="1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20"/>
      <c r="S227" s="21"/>
      <c r="T227" s="22"/>
    </row>
    <row r="228" spans="1:20" ht="13.2" x14ac:dyDescent="0.25">
      <c r="A228" s="17"/>
      <c r="B228" s="17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20"/>
      <c r="S228" s="21"/>
      <c r="T228" s="22"/>
    </row>
    <row r="229" spans="1:20" ht="13.2" x14ac:dyDescent="0.25">
      <c r="A229" s="17"/>
      <c r="B229" s="17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20"/>
      <c r="S229" s="21"/>
      <c r="T229" s="22"/>
    </row>
    <row r="230" spans="1:20" ht="13.2" x14ac:dyDescent="0.25">
      <c r="A230" s="17"/>
      <c r="B230" s="17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20"/>
      <c r="S230" s="21"/>
      <c r="T230" s="22"/>
    </row>
    <row r="231" spans="1:20" ht="13.2" x14ac:dyDescent="0.25">
      <c r="A231" s="17"/>
      <c r="B231" s="17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20"/>
      <c r="S231" s="21"/>
      <c r="T231" s="22"/>
    </row>
    <row r="232" spans="1:20" ht="13.2" x14ac:dyDescent="0.25">
      <c r="A232" s="17"/>
      <c r="B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20"/>
      <c r="S232" s="21"/>
      <c r="T232" s="22"/>
    </row>
    <row r="233" spans="1:20" ht="13.2" x14ac:dyDescent="0.25">
      <c r="A233" s="17"/>
      <c r="B233" s="17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20"/>
      <c r="S233" s="21"/>
      <c r="T233" s="22"/>
    </row>
    <row r="234" spans="1:20" ht="13.2" x14ac:dyDescent="0.25">
      <c r="A234" s="17"/>
      <c r="B234" s="17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20"/>
      <c r="S234" s="21"/>
      <c r="T234" s="22"/>
    </row>
    <row r="235" spans="1:20" ht="13.2" x14ac:dyDescent="0.25">
      <c r="A235" s="17"/>
      <c r="B235" s="17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20"/>
      <c r="S235" s="21"/>
      <c r="T235" s="22"/>
    </row>
    <row r="236" spans="1:20" ht="13.2" x14ac:dyDescent="0.25">
      <c r="A236" s="17"/>
      <c r="B236" s="17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20"/>
      <c r="S236" s="21"/>
      <c r="T236" s="22"/>
    </row>
    <row r="237" spans="1:20" ht="13.2" x14ac:dyDescent="0.25">
      <c r="A237" s="17"/>
      <c r="B237" s="17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20"/>
      <c r="S237" s="21"/>
      <c r="T237" s="22"/>
    </row>
    <row r="238" spans="1:20" ht="13.2" x14ac:dyDescent="0.25">
      <c r="A238" s="17"/>
      <c r="B238" s="17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20"/>
      <c r="S238" s="21"/>
      <c r="T238" s="22"/>
    </row>
    <row r="239" spans="1:20" ht="13.2" x14ac:dyDescent="0.25">
      <c r="A239" s="17"/>
      <c r="B239" s="17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20"/>
      <c r="S239" s="21"/>
      <c r="T239" s="22"/>
    </row>
    <row r="240" spans="1:20" ht="13.2" x14ac:dyDescent="0.25">
      <c r="A240" s="17"/>
      <c r="B240" s="17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20"/>
      <c r="S240" s="21"/>
      <c r="T240" s="22"/>
    </row>
    <row r="241" spans="1:20" ht="13.2" x14ac:dyDescent="0.25">
      <c r="A241" s="17"/>
      <c r="B241" s="17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20"/>
      <c r="S241" s="21"/>
      <c r="T241" s="22"/>
    </row>
    <row r="242" spans="1:20" ht="13.2" x14ac:dyDescent="0.25">
      <c r="A242" s="17"/>
      <c r="B242" s="17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20"/>
      <c r="S242" s="21"/>
      <c r="T242" s="22"/>
    </row>
    <row r="243" spans="1:20" ht="13.2" x14ac:dyDescent="0.25">
      <c r="A243" s="17"/>
      <c r="B243" s="17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20"/>
      <c r="S243" s="21"/>
      <c r="T243" s="22"/>
    </row>
    <row r="244" spans="1:20" ht="13.2" x14ac:dyDescent="0.25">
      <c r="A244" s="17"/>
      <c r="B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20"/>
      <c r="S244" s="21"/>
      <c r="T244" s="22"/>
    </row>
    <row r="245" spans="1:20" ht="13.2" x14ac:dyDescent="0.25">
      <c r="A245" s="17"/>
      <c r="B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20"/>
      <c r="S245" s="21"/>
      <c r="T245" s="22"/>
    </row>
    <row r="246" spans="1:20" ht="13.2" x14ac:dyDescent="0.25">
      <c r="A246" s="17"/>
      <c r="B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20"/>
      <c r="S246" s="21"/>
      <c r="T246" s="22"/>
    </row>
    <row r="247" spans="1:20" ht="13.2" x14ac:dyDescent="0.25">
      <c r="A247" s="17"/>
      <c r="B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20"/>
      <c r="S247" s="21"/>
      <c r="T247" s="22"/>
    </row>
    <row r="248" spans="1:20" ht="13.2" x14ac:dyDescent="0.25">
      <c r="A248" s="17"/>
      <c r="B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20"/>
      <c r="S248" s="21"/>
      <c r="T248" s="22"/>
    </row>
    <row r="249" spans="1:20" ht="13.2" x14ac:dyDescent="0.25">
      <c r="A249" s="17"/>
      <c r="B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20"/>
      <c r="S249" s="21"/>
      <c r="T249" s="22"/>
    </row>
    <row r="250" spans="1:20" ht="13.2" x14ac:dyDescent="0.25">
      <c r="A250" s="17"/>
      <c r="B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20"/>
      <c r="S250" s="21"/>
      <c r="T250" s="22"/>
    </row>
    <row r="251" spans="1:20" ht="13.2" x14ac:dyDescent="0.25">
      <c r="A251" s="17"/>
      <c r="B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20"/>
      <c r="S251" s="21"/>
      <c r="T251" s="22"/>
    </row>
    <row r="252" spans="1:20" ht="13.2" x14ac:dyDescent="0.25">
      <c r="A252" s="17"/>
      <c r="B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20"/>
      <c r="S252" s="21"/>
      <c r="T252" s="22"/>
    </row>
    <row r="253" spans="1:20" ht="13.2" x14ac:dyDescent="0.25">
      <c r="A253" s="17"/>
      <c r="B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20"/>
      <c r="S253" s="21"/>
      <c r="T253" s="22"/>
    </row>
    <row r="254" spans="1:20" ht="13.2" x14ac:dyDescent="0.25">
      <c r="A254" s="17"/>
      <c r="B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20"/>
      <c r="S254" s="21"/>
      <c r="T254" s="22"/>
    </row>
    <row r="255" spans="1:20" ht="13.2" x14ac:dyDescent="0.25">
      <c r="A255" s="17"/>
      <c r="B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20"/>
      <c r="S255" s="21"/>
      <c r="T255" s="22"/>
    </row>
    <row r="256" spans="1:20" ht="13.2" x14ac:dyDescent="0.25">
      <c r="A256" s="17"/>
      <c r="B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20"/>
      <c r="S256" s="21"/>
      <c r="T256" s="22"/>
    </row>
    <row r="257" spans="1:20" ht="13.2" x14ac:dyDescent="0.25">
      <c r="A257" s="17"/>
      <c r="B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20"/>
      <c r="S257" s="21"/>
      <c r="T257" s="22"/>
    </row>
    <row r="258" spans="1:20" ht="13.2" x14ac:dyDescent="0.25">
      <c r="A258" s="17"/>
      <c r="B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20"/>
      <c r="S258" s="21"/>
      <c r="T258" s="22"/>
    </row>
    <row r="259" spans="1:20" ht="13.2" x14ac:dyDescent="0.25">
      <c r="A259" s="17"/>
      <c r="B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20"/>
      <c r="S259" s="21"/>
      <c r="T259" s="22"/>
    </row>
    <row r="260" spans="1:20" ht="13.2" x14ac:dyDescent="0.25">
      <c r="A260" s="17"/>
      <c r="B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20"/>
      <c r="S260" s="21"/>
      <c r="T260" s="22"/>
    </row>
    <row r="261" spans="1:20" ht="13.2" x14ac:dyDescent="0.25">
      <c r="A261" s="17"/>
      <c r="B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20"/>
      <c r="S261" s="21"/>
      <c r="T261" s="22"/>
    </row>
    <row r="262" spans="1:20" ht="13.2" x14ac:dyDescent="0.25">
      <c r="A262" s="17"/>
      <c r="B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20"/>
      <c r="S262" s="21"/>
      <c r="T262" s="22"/>
    </row>
    <row r="263" spans="1:20" ht="13.2" x14ac:dyDescent="0.25">
      <c r="A263" s="17"/>
      <c r="B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20"/>
      <c r="S263" s="21"/>
      <c r="T263" s="22"/>
    </row>
    <row r="264" spans="1:20" ht="13.2" x14ac:dyDescent="0.25">
      <c r="A264" s="17"/>
      <c r="B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20"/>
      <c r="S264" s="21"/>
      <c r="T264" s="22"/>
    </row>
    <row r="265" spans="1:20" ht="13.2" x14ac:dyDescent="0.25">
      <c r="A265" s="17"/>
      <c r="B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20"/>
      <c r="S265" s="21"/>
      <c r="T265" s="22"/>
    </row>
    <row r="266" spans="1:20" ht="13.2" x14ac:dyDescent="0.25">
      <c r="A266" s="17"/>
      <c r="B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20"/>
      <c r="S266" s="21"/>
      <c r="T266" s="22"/>
    </row>
    <row r="267" spans="1:20" ht="13.2" x14ac:dyDescent="0.25">
      <c r="A267" s="17"/>
      <c r="B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20"/>
      <c r="S267" s="21"/>
      <c r="T267" s="22"/>
    </row>
    <row r="268" spans="1:20" ht="13.2" x14ac:dyDescent="0.25">
      <c r="A268" s="17"/>
      <c r="B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20"/>
      <c r="S268" s="21"/>
      <c r="T268" s="22"/>
    </row>
    <row r="269" spans="1:20" ht="13.2" x14ac:dyDescent="0.25">
      <c r="A269" s="17"/>
      <c r="B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20"/>
      <c r="S269" s="21"/>
      <c r="T269" s="22"/>
    </row>
    <row r="270" spans="1:20" ht="13.2" x14ac:dyDescent="0.25">
      <c r="A270" s="17"/>
      <c r="B270" s="17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20"/>
      <c r="S270" s="21"/>
      <c r="T270" s="22"/>
    </row>
    <row r="271" spans="1:20" ht="13.2" x14ac:dyDescent="0.25">
      <c r="A271" s="17"/>
      <c r="B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20"/>
      <c r="S271" s="21"/>
      <c r="T271" s="22"/>
    </row>
    <row r="272" spans="1:20" ht="13.2" x14ac:dyDescent="0.25">
      <c r="A272" s="17"/>
      <c r="B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20"/>
      <c r="S272" s="21"/>
      <c r="T272" s="22"/>
    </row>
    <row r="273" spans="1:20" ht="13.2" x14ac:dyDescent="0.25">
      <c r="A273" s="17"/>
      <c r="B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20"/>
      <c r="S273" s="21"/>
      <c r="T273" s="22"/>
    </row>
    <row r="274" spans="1:20" ht="13.2" x14ac:dyDescent="0.25">
      <c r="A274" s="17"/>
      <c r="B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20"/>
      <c r="S274" s="21"/>
      <c r="T274" s="22"/>
    </row>
    <row r="275" spans="1:20" ht="13.2" x14ac:dyDescent="0.25">
      <c r="A275" s="17"/>
      <c r="B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20"/>
      <c r="S275" s="21"/>
      <c r="T275" s="22"/>
    </row>
    <row r="276" spans="1:20" ht="13.2" x14ac:dyDescent="0.25">
      <c r="A276" s="17"/>
      <c r="B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20"/>
      <c r="S276" s="21"/>
      <c r="T276" s="22"/>
    </row>
    <row r="277" spans="1:20" ht="13.2" x14ac:dyDescent="0.25">
      <c r="A277" s="17"/>
      <c r="B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20"/>
      <c r="S277" s="21"/>
      <c r="T277" s="22"/>
    </row>
    <row r="278" spans="1:20" ht="13.2" x14ac:dyDescent="0.25">
      <c r="A278" s="17"/>
      <c r="B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20"/>
      <c r="S278" s="21"/>
      <c r="T278" s="22"/>
    </row>
    <row r="279" spans="1:20" ht="13.2" x14ac:dyDescent="0.25">
      <c r="A279" s="17"/>
      <c r="B279" s="17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20"/>
      <c r="S279" s="21"/>
      <c r="T279" s="22"/>
    </row>
    <row r="280" spans="1:20" ht="13.2" x14ac:dyDescent="0.25">
      <c r="A280" s="17"/>
      <c r="B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20"/>
      <c r="S280" s="21"/>
      <c r="T280" s="22"/>
    </row>
    <row r="281" spans="1:20" ht="13.2" x14ac:dyDescent="0.25">
      <c r="A281" s="17"/>
      <c r="B281" s="17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20"/>
      <c r="S281" s="21"/>
      <c r="T281" s="22"/>
    </row>
    <row r="282" spans="1:20" ht="13.2" x14ac:dyDescent="0.25">
      <c r="A282" s="17"/>
      <c r="B282" s="17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20"/>
      <c r="S282" s="21"/>
      <c r="T282" s="22"/>
    </row>
    <row r="283" spans="1:20" ht="13.2" x14ac:dyDescent="0.25">
      <c r="A283" s="17"/>
      <c r="B283" s="17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20"/>
      <c r="S283" s="21"/>
      <c r="T283" s="22"/>
    </row>
    <row r="284" spans="1:20" ht="13.2" x14ac:dyDescent="0.25">
      <c r="A284" s="17"/>
      <c r="B284" s="17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20"/>
      <c r="S284" s="21"/>
      <c r="T284" s="22"/>
    </row>
    <row r="285" spans="1:20" ht="13.2" x14ac:dyDescent="0.25">
      <c r="A285" s="17"/>
      <c r="B285" s="17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20"/>
      <c r="S285" s="21"/>
      <c r="T285" s="22"/>
    </row>
    <row r="286" spans="1:20" ht="13.2" x14ac:dyDescent="0.25">
      <c r="A286" s="17"/>
      <c r="B286" s="17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20"/>
      <c r="S286" s="21"/>
      <c r="T286" s="22"/>
    </row>
    <row r="287" spans="1:20" ht="13.2" x14ac:dyDescent="0.25">
      <c r="A287" s="17"/>
      <c r="B287" s="17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20"/>
      <c r="S287" s="21"/>
      <c r="T287" s="22"/>
    </row>
    <row r="288" spans="1:20" ht="13.2" x14ac:dyDescent="0.25">
      <c r="A288" s="17"/>
      <c r="B288" s="17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20"/>
      <c r="S288" s="21"/>
      <c r="T288" s="22"/>
    </row>
    <row r="289" spans="1:20" ht="13.2" x14ac:dyDescent="0.25">
      <c r="A289" s="17"/>
      <c r="B289" s="17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20"/>
      <c r="S289" s="21"/>
      <c r="T289" s="22"/>
    </row>
    <row r="290" spans="1:20" ht="13.2" x14ac:dyDescent="0.25">
      <c r="A290" s="17"/>
      <c r="B290" s="17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20"/>
      <c r="S290" s="21"/>
      <c r="T290" s="22"/>
    </row>
    <row r="291" spans="1:20" ht="13.2" x14ac:dyDescent="0.25">
      <c r="A291" s="17"/>
      <c r="B291" s="17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20"/>
      <c r="S291" s="21"/>
      <c r="T291" s="22"/>
    </row>
    <row r="292" spans="1:20" ht="13.2" x14ac:dyDescent="0.25">
      <c r="A292" s="17"/>
      <c r="B292" s="17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20"/>
      <c r="S292" s="21"/>
      <c r="T292" s="22"/>
    </row>
    <row r="293" spans="1:20" ht="13.2" x14ac:dyDescent="0.25">
      <c r="A293" s="17"/>
      <c r="B293" s="17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20"/>
      <c r="S293" s="21"/>
      <c r="T293" s="22"/>
    </row>
    <row r="294" spans="1:20" ht="13.2" x14ac:dyDescent="0.25">
      <c r="A294" s="17"/>
      <c r="B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20"/>
      <c r="S294" s="21"/>
      <c r="T294" s="22"/>
    </row>
    <row r="295" spans="1:20" ht="13.2" x14ac:dyDescent="0.25">
      <c r="A295" s="17"/>
      <c r="B295" s="17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20"/>
      <c r="S295" s="21"/>
      <c r="T295" s="22"/>
    </row>
    <row r="296" spans="1:20" ht="13.2" x14ac:dyDescent="0.25">
      <c r="A296" s="17"/>
      <c r="B296" s="17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20"/>
      <c r="S296" s="21"/>
      <c r="T296" s="22"/>
    </row>
    <row r="297" spans="1:20" ht="13.2" x14ac:dyDescent="0.25">
      <c r="A297" s="17"/>
      <c r="B297" s="17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20"/>
      <c r="S297" s="21"/>
      <c r="T297" s="22"/>
    </row>
    <row r="298" spans="1:20" ht="13.2" x14ac:dyDescent="0.25">
      <c r="A298" s="17"/>
      <c r="B298" s="17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20"/>
      <c r="S298" s="21"/>
      <c r="T298" s="22"/>
    </row>
    <row r="299" spans="1:20" ht="13.2" x14ac:dyDescent="0.25">
      <c r="A299" s="17"/>
      <c r="B299" s="17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20"/>
      <c r="S299" s="21"/>
      <c r="T299" s="22"/>
    </row>
    <row r="300" spans="1:20" ht="13.2" x14ac:dyDescent="0.25">
      <c r="A300" s="17"/>
      <c r="B300" s="17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20"/>
      <c r="S300" s="21"/>
      <c r="T300" s="22"/>
    </row>
    <row r="301" spans="1:20" ht="13.2" x14ac:dyDescent="0.25">
      <c r="A301" s="17"/>
      <c r="B301" s="17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20"/>
      <c r="S301" s="21"/>
      <c r="T301" s="22"/>
    </row>
    <row r="302" spans="1:20" ht="13.2" x14ac:dyDescent="0.25">
      <c r="A302" s="17"/>
      <c r="B302" s="17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20"/>
      <c r="S302" s="21"/>
      <c r="T302" s="22"/>
    </row>
    <row r="303" spans="1:20" ht="13.2" x14ac:dyDescent="0.25">
      <c r="A303" s="17"/>
      <c r="B303" s="17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20"/>
      <c r="S303" s="21"/>
      <c r="T303" s="22"/>
    </row>
    <row r="304" spans="1:20" ht="13.2" x14ac:dyDescent="0.25">
      <c r="A304" s="17"/>
      <c r="B304" s="17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20"/>
      <c r="S304" s="21"/>
      <c r="T304" s="22"/>
    </row>
    <row r="305" spans="1:20" ht="13.2" x14ac:dyDescent="0.25">
      <c r="A305" s="17"/>
      <c r="B305" s="17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20"/>
      <c r="S305" s="21"/>
      <c r="T305" s="22"/>
    </row>
    <row r="306" spans="1:20" ht="13.2" x14ac:dyDescent="0.25">
      <c r="A306" s="17"/>
      <c r="B306" s="17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20"/>
      <c r="S306" s="21"/>
      <c r="T306" s="22"/>
    </row>
    <row r="307" spans="1:20" ht="13.2" x14ac:dyDescent="0.25">
      <c r="A307" s="17"/>
      <c r="B307" s="17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20"/>
      <c r="S307" s="21"/>
      <c r="T307" s="22"/>
    </row>
    <row r="308" spans="1:20" ht="13.2" x14ac:dyDescent="0.25">
      <c r="A308" s="17"/>
      <c r="B308" s="17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20"/>
      <c r="S308" s="21"/>
      <c r="T308" s="22"/>
    </row>
    <row r="309" spans="1:20" ht="13.2" x14ac:dyDescent="0.25">
      <c r="A309" s="17"/>
      <c r="B309" s="17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20"/>
      <c r="S309" s="21"/>
      <c r="T309" s="22"/>
    </row>
    <row r="310" spans="1:20" ht="13.2" x14ac:dyDescent="0.25">
      <c r="A310" s="17"/>
      <c r="B310" s="17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20"/>
      <c r="S310" s="21"/>
      <c r="T310" s="22"/>
    </row>
    <row r="311" spans="1:20" ht="13.2" x14ac:dyDescent="0.25">
      <c r="A311" s="17"/>
      <c r="B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20"/>
      <c r="S311" s="21"/>
      <c r="T311" s="22"/>
    </row>
    <row r="312" spans="1:20" ht="13.2" x14ac:dyDescent="0.25">
      <c r="A312" s="17"/>
      <c r="B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20"/>
      <c r="S312" s="21"/>
      <c r="T312" s="22"/>
    </row>
    <row r="313" spans="1:20" ht="13.2" x14ac:dyDescent="0.25">
      <c r="A313" s="17"/>
      <c r="B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20"/>
      <c r="S313" s="21"/>
      <c r="T313" s="22"/>
    </row>
    <row r="314" spans="1:20" ht="13.2" x14ac:dyDescent="0.25">
      <c r="A314" s="17"/>
      <c r="B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20"/>
      <c r="S314" s="21"/>
      <c r="T314" s="22"/>
    </row>
    <row r="315" spans="1:20" ht="13.2" x14ac:dyDescent="0.25">
      <c r="A315" s="17"/>
      <c r="B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20"/>
      <c r="S315" s="21"/>
      <c r="T315" s="22"/>
    </row>
    <row r="316" spans="1:20" ht="13.2" x14ac:dyDescent="0.25">
      <c r="A316" s="17"/>
      <c r="B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20"/>
      <c r="S316" s="21"/>
      <c r="T316" s="22"/>
    </row>
    <row r="317" spans="1:20" ht="13.2" x14ac:dyDescent="0.25">
      <c r="A317" s="17"/>
      <c r="B317" s="17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20"/>
      <c r="S317" s="21"/>
      <c r="T317" s="22"/>
    </row>
    <row r="318" spans="1:20" ht="13.2" x14ac:dyDescent="0.25">
      <c r="A318" s="17"/>
      <c r="B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20"/>
      <c r="S318" s="21"/>
      <c r="T318" s="22"/>
    </row>
    <row r="319" spans="1:20" ht="13.2" x14ac:dyDescent="0.25">
      <c r="A319" s="17"/>
      <c r="B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20"/>
      <c r="S319" s="21"/>
      <c r="T319" s="22"/>
    </row>
    <row r="320" spans="1:20" ht="13.2" x14ac:dyDescent="0.25">
      <c r="A320" s="17"/>
      <c r="B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20"/>
      <c r="S320" s="21"/>
      <c r="T320" s="22"/>
    </row>
    <row r="321" spans="1:20" ht="13.2" x14ac:dyDescent="0.25">
      <c r="A321" s="17"/>
      <c r="B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20"/>
      <c r="S321" s="21"/>
      <c r="T321" s="22"/>
    </row>
    <row r="322" spans="1:20" ht="13.2" x14ac:dyDescent="0.25">
      <c r="A322" s="17"/>
      <c r="B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20"/>
      <c r="S322" s="21"/>
      <c r="T322" s="22"/>
    </row>
    <row r="323" spans="1:20" ht="13.2" x14ac:dyDescent="0.25">
      <c r="A323" s="17"/>
      <c r="B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20"/>
      <c r="S323" s="21"/>
      <c r="T323" s="22"/>
    </row>
    <row r="324" spans="1:20" ht="13.2" x14ac:dyDescent="0.25">
      <c r="A324" s="17"/>
      <c r="B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20"/>
      <c r="S324" s="21"/>
      <c r="T324" s="22"/>
    </row>
    <row r="325" spans="1:20" ht="13.2" x14ac:dyDescent="0.25">
      <c r="A325" s="17"/>
      <c r="B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20"/>
      <c r="S325" s="21"/>
      <c r="T325" s="22"/>
    </row>
    <row r="326" spans="1:20" ht="13.2" x14ac:dyDescent="0.25">
      <c r="A326" s="17"/>
      <c r="B326" s="17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20"/>
      <c r="S326" s="21"/>
      <c r="T326" s="22"/>
    </row>
    <row r="327" spans="1:20" ht="13.2" x14ac:dyDescent="0.25">
      <c r="A327" s="17"/>
      <c r="B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20"/>
      <c r="S327" s="21"/>
      <c r="T327" s="22"/>
    </row>
    <row r="328" spans="1:20" ht="13.2" x14ac:dyDescent="0.25">
      <c r="A328" s="17"/>
      <c r="B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20"/>
      <c r="S328" s="21"/>
      <c r="T328" s="22"/>
    </row>
    <row r="329" spans="1:20" ht="13.2" x14ac:dyDescent="0.25">
      <c r="A329" s="17"/>
      <c r="B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20"/>
      <c r="S329" s="21"/>
      <c r="T329" s="22"/>
    </row>
    <row r="330" spans="1:20" ht="13.2" x14ac:dyDescent="0.25">
      <c r="A330" s="17"/>
      <c r="B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20"/>
      <c r="S330" s="21"/>
      <c r="T330" s="22"/>
    </row>
    <row r="331" spans="1:20" ht="13.2" x14ac:dyDescent="0.25">
      <c r="A331" s="17"/>
      <c r="B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20"/>
      <c r="S331" s="21"/>
      <c r="T331" s="22"/>
    </row>
    <row r="332" spans="1:20" ht="13.2" x14ac:dyDescent="0.25">
      <c r="A332" s="17"/>
      <c r="B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20"/>
      <c r="S332" s="21"/>
      <c r="T332" s="22"/>
    </row>
    <row r="333" spans="1:20" ht="13.2" x14ac:dyDescent="0.25">
      <c r="A333" s="17"/>
      <c r="B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20"/>
      <c r="S333" s="21"/>
      <c r="T333" s="22"/>
    </row>
    <row r="334" spans="1:20" ht="13.2" x14ac:dyDescent="0.25">
      <c r="A334" s="17"/>
      <c r="B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20"/>
      <c r="S334" s="21"/>
      <c r="T334" s="22"/>
    </row>
    <row r="335" spans="1:20" ht="13.2" x14ac:dyDescent="0.25">
      <c r="A335" s="17"/>
      <c r="B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20"/>
      <c r="S335" s="21"/>
      <c r="T335" s="22"/>
    </row>
    <row r="336" spans="1:20" ht="13.2" x14ac:dyDescent="0.25">
      <c r="A336" s="17"/>
      <c r="B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20"/>
      <c r="S336" s="21"/>
      <c r="T336" s="22"/>
    </row>
    <row r="337" spans="1:20" ht="13.2" x14ac:dyDescent="0.25">
      <c r="A337" s="17"/>
      <c r="B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20"/>
      <c r="S337" s="21"/>
      <c r="T337" s="22"/>
    </row>
    <row r="338" spans="1:20" ht="13.2" x14ac:dyDescent="0.25">
      <c r="A338" s="17"/>
      <c r="B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20"/>
      <c r="S338" s="21"/>
      <c r="T338" s="22"/>
    </row>
    <row r="339" spans="1:20" ht="13.2" x14ac:dyDescent="0.25">
      <c r="A339" s="17"/>
      <c r="B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20"/>
      <c r="S339" s="21"/>
      <c r="T339" s="22"/>
    </row>
    <row r="340" spans="1:20" ht="13.2" x14ac:dyDescent="0.25">
      <c r="A340" s="17"/>
      <c r="B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20"/>
      <c r="S340" s="21"/>
      <c r="T340" s="22"/>
    </row>
    <row r="341" spans="1:20" ht="13.2" x14ac:dyDescent="0.25">
      <c r="A341" s="17"/>
      <c r="B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20"/>
      <c r="S341" s="21"/>
      <c r="T341" s="22"/>
    </row>
    <row r="342" spans="1:20" ht="13.2" x14ac:dyDescent="0.25">
      <c r="A342" s="17"/>
      <c r="B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20"/>
      <c r="S342" s="21"/>
      <c r="T342" s="22"/>
    </row>
    <row r="343" spans="1:20" ht="13.2" x14ac:dyDescent="0.25">
      <c r="A343" s="17"/>
      <c r="B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20"/>
      <c r="S343" s="21"/>
      <c r="T343" s="22"/>
    </row>
    <row r="344" spans="1:20" ht="13.2" x14ac:dyDescent="0.25">
      <c r="A344" s="17"/>
      <c r="B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20"/>
      <c r="S344" s="21"/>
      <c r="T344" s="22"/>
    </row>
    <row r="345" spans="1:20" ht="13.2" x14ac:dyDescent="0.25">
      <c r="A345" s="17"/>
      <c r="B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20"/>
      <c r="S345" s="21"/>
      <c r="T345" s="22"/>
    </row>
    <row r="346" spans="1:20" ht="13.2" x14ac:dyDescent="0.25">
      <c r="A346" s="17"/>
      <c r="B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20"/>
      <c r="S346" s="21"/>
      <c r="T346" s="22"/>
    </row>
    <row r="347" spans="1:20" ht="13.2" x14ac:dyDescent="0.25">
      <c r="A347" s="17"/>
      <c r="B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20"/>
      <c r="S347" s="21"/>
      <c r="T347" s="22"/>
    </row>
    <row r="348" spans="1:20" ht="13.2" x14ac:dyDescent="0.25">
      <c r="A348" s="17"/>
      <c r="B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20"/>
      <c r="S348" s="21"/>
      <c r="T348" s="22"/>
    </row>
    <row r="349" spans="1:20" ht="13.2" x14ac:dyDescent="0.25">
      <c r="A349" s="17"/>
      <c r="B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20"/>
      <c r="S349" s="21"/>
      <c r="T349" s="22"/>
    </row>
    <row r="350" spans="1:20" ht="13.2" x14ac:dyDescent="0.25">
      <c r="A350" s="17"/>
      <c r="B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20"/>
      <c r="S350" s="21"/>
      <c r="T350" s="22"/>
    </row>
    <row r="351" spans="1:20" ht="13.2" x14ac:dyDescent="0.25">
      <c r="A351" s="17"/>
      <c r="B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20"/>
      <c r="S351" s="21"/>
      <c r="T351" s="22"/>
    </row>
    <row r="352" spans="1:20" ht="13.2" x14ac:dyDescent="0.25">
      <c r="A352" s="17"/>
      <c r="B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20"/>
      <c r="S352" s="21"/>
      <c r="T352" s="22"/>
    </row>
    <row r="353" spans="1:20" ht="13.2" x14ac:dyDescent="0.25">
      <c r="A353" s="17"/>
      <c r="B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20"/>
      <c r="S353" s="21"/>
      <c r="T353" s="22"/>
    </row>
    <row r="354" spans="1:20" ht="13.2" x14ac:dyDescent="0.25">
      <c r="A354" s="17"/>
      <c r="B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20"/>
      <c r="S354" s="21"/>
      <c r="T354" s="22"/>
    </row>
    <row r="355" spans="1:20" ht="13.2" x14ac:dyDescent="0.25">
      <c r="A355" s="17"/>
      <c r="B355" s="17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20"/>
      <c r="S355" s="21"/>
      <c r="T355" s="22"/>
    </row>
    <row r="356" spans="1:20" ht="13.2" x14ac:dyDescent="0.25">
      <c r="A356" s="17"/>
      <c r="B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20"/>
      <c r="S356" s="21"/>
      <c r="T356" s="22"/>
    </row>
    <row r="357" spans="1:20" ht="13.2" x14ac:dyDescent="0.25">
      <c r="A357" s="17"/>
      <c r="B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20"/>
      <c r="S357" s="21"/>
      <c r="T357" s="22"/>
    </row>
    <row r="358" spans="1:20" ht="13.2" x14ac:dyDescent="0.25">
      <c r="A358" s="17"/>
      <c r="B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20"/>
      <c r="S358" s="21"/>
      <c r="T358" s="22"/>
    </row>
    <row r="359" spans="1:20" ht="13.2" x14ac:dyDescent="0.25">
      <c r="A359" s="17"/>
      <c r="B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20"/>
      <c r="S359" s="21"/>
      <c r="T359" s="22"/>
    </row>
    <row r="360" spans="1:20" ht="13.2" x14ac:dyDescent="0.25">
      <c r="A360" s="17"/>
      <c r="B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20"/>
      <c r="S360" s="21"/>
      <c r="T360" s="22"/>
    </row>
    <row r="361" spans="1:20" ht="13.2" x14ac:dyDescent="0.25">
      <c r="A361" s="17"/>
      <c r="B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20"/>
      <c r="S361" s="21"/>
      <c r="T361" s="22"/>
    </row>
    <row r="362" spans="1:20" ht="13.2" x14ac:dyDescent="0.25">
      <c r="A362" s="17"/>
      <c r="B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20"/>
      <c r="S362" s="21"/>
      <c r="T362" s="22"/>
    </row>
    <row r="363" spans="1:20" ht="13.2" x14ac:dyDescent="0.25">
      <c r="A363" s="17"/>
      <c r="B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20"/>
      <c r="S363" s="21"/>
      <c r="T363" s="22"/>
    </row>
    <row r="364" spans="1:20" ht="13.2" x14ac:dyDescent="0.25">
      <c r="A364" s="17"/>
      <c r="B364" s="17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20"/>
      <c r="S364" s="21"/>
      <c r="T364" s="22"/>
    </row>
    <row r="365" spans="1:20" ht="13.2" x14ac:dyDescent="0.25">
      <c r="A365" s="17"/>
      <c r="B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20"/>
      <c r="S365" s="21"/>
      <c r="T365" s="22"/>
    </row>
    <row r="366" spans="1:20" ht="13.2" x14ac:dyDescent="0.25">
      <c r="A366" s="17"/>
      <c r="B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20"/>
      <c r="S366" s="21"/>
      <c r="T366" s="22"/>
    </row>
    <row r="367" spans="1:20" ht="13.2" x14ac:dyDescent="0.25">
      <c r="A367" s="17"/>
      <c r="B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20"/>
      <c r="S367" s="21"/>
      <c r="T367" s="22"/>
    </row>
    <row r="368" spans="1:20" ht="13.2" x14ac:dyDescent="0.25">
      <c r="A368" s="17"/>
      <c r="B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20"/>
      <c r="S368" s="21"/>
      <c r="T368" s="22"/>
    </row>
    <row r="369" spans="1:20" ht="13.2" x14ac:dyDescent="0.25">
      <c r="A369" s="17"/>
      <c r="B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20"/>
      <c r="S369" s="21"/>
      <c r="T369" s="22"/>
    </row>
    <row r="370" spans="1:20" ht="13.2" x14ac:dyDescent="0.25">
      <c r="A370" s="17"/>
      <c r="B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20"/>
      <c r="S370" s="21"/>
      <c r="T370" s="22"/>
    </row>
    <row r="371" spans="1:20" ht="13.2" x14ac:dyDescent="0.25">
      <c r="A371" s="17"/>
      <c r="B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20"/>
      <c r="S371" s="21"/>
      <c r="T371" s="22"/>
    </row>
    <row r="372" spans="1:20" ht="13.2" x14ac:dyDescent="0.25">
      <c r="A372" s="17"/>
      <c r="B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20"/>
      <c r="S372" s="21"/>
      <c r="T372" s="22"/>
    </row>
    <row r="373" spans="1:20" ht="13.2" x14ac:dyDescent="0.25">
      <c r="A373" s="17"/>
      <c r="B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20"/>
      <c r="S373" s="21"/>
      <c r="T373" s="22"/>
    </row>
    <row r="374" spans="1:20" ht="13.2" x14ac:dyDescent="0.25">
      <c r="A374" s="17"/>
      <c r="B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20"/>
      <c r="S374" s="21"/>
      <c r="T374" s="22"/>
    </row>
    <row r="375" spans="1:20" ht="13.2" x14ac:dyDescent="0.25">
      <c r="A375" s="17"/>
      <c r="B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20"/>
      <c r="S375" s="21"/>
      <c r="T375" s="22"/>
    </row>
    <row r="376" spans="1:20" ht="13.2" x14ac:dyDescent="0.25">
      <c r="A376" s="17"/>
      <c r="B376" s="17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20"/>
      <c r="S376" s="21"/>
      <c r="T376" s="22"/>
    </row>
    <row r="377" spans="1:20" ht="13.2" x14ac:dyDescent="0.25">
      <c r="A377" s="17"/>
      <c r="B377" s="17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20"/>
      <c r="S377" s="21"/>
      <c r="T377" s="22"/>
    </row>
    <row r="378" spans="1:20" ht="13.2" x14ac:dyDescent="0.25">
      <c r="A378" s="17"/>
      <c r="B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20"/>
      <c r="S378" s="21"/>
      <c r="T378" s="22"/>
    </row>
    <row r="379" spans="1:20" ht="13.2" x14ac:dyDescent="0.25">
      <c r="A379" s="17"/>
      <c r="B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20"/>
      <c r="S379" s="21"/>
      <c r="T379" s="22"/>
    </row>
    <row r="380" spans="1:20" ht="13.2" x14ac:dyDescent="0.25">
      <c r="A380" s="17"/>
      <c r="B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20"/>
      <c r="S380" s="21"/>
      <c r="T380" s="22"/>
    </row>
    <row r="381" spans="1:20" ht="13.2" x14ac:dyDescent="0.25">
      <c r="A381" s="17"/>
      <c r="B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20"/>
      <c r="S381" s="21"/>
      <c r="T381" s="22"/>
    </row>
    <row r="382" spans="1:20" ht="13.2" x14ac:dyDescent="0.25">
      <c r="A382" s="17"/>
      <c r="B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20"/>
      <c r="S382" s="21"/>
      <c r="T382" s="22"/>
    </row>
    <row r="383" spans="1:20" ht="13.2" x14ac:dyDescent="0.25">
      <c r="A383" s="17"/>
      <c r="B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20"/>
      <c r="S383" s="21"/>
      <c r="T383" s="22"/>
    </row>
    <row r="384" spans="1:20" ht="13.2" x14ac:dyDescent="0.25">
      <c r="A384" s="17"/>
      <c r="B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20"/>
      <c r="S384" s="21"/>
      <c r="T384" s="22"/>
    </row>
    <row r="385" spans="1:20" ht="13.2" x14ac:dyDescent="0.25">
      <c r="A385" s="17"/>
      <c r="B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20"/>
      <c r="S385" s="21"/>
      <c r="T385" s="22"/>
    </row>
    <row r="386" spans="1:20" ht="13.2" x14ac:dyDescent="0.25">
      <c r="A386" s="17"/>
      <c r="B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20"/>
      <c r="S386" s="21"/>
      <c r="T386" s="22"/>
    </row>
    <row r="387" spans="1:20" ht="13.2" x14ac:dyDescent="0.25">
      <c r="A387" s="17"/>
      <c r="B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20"/>
      <c r="S387" s="21"/>
      <c r="T387" s="22"/>
    </row>
    <row r="388" spans="1:20" ht="13.2" x14ac:dyDescent="0.25">
      <c r="A388" s="17"/>
      <c r="B388" s="17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20"/>
      <c r="S388" s="21"/>
      <c r="T388" s="22"/>
    </row>
    <row r="389" spans="1:20" ht="13.2" x14ac:dyDescent="0.25">
      <c r="A389" s="17"/>
      <c r="B389" s="17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20"/>
      <c r="S389" s="21"/>
      <c r="T389" s="22"/>
    </row>
    <row r="390" spans="1:20" ht="13.2" x14ac:dyDescent="0.25">
      <c r="A390" s="17"/>
      <c r="B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20"/>
      <c r="S390" s="21"/>
      <c r="T390" s="22"/>
    </row>
    <row r="391" spans="1:20" ht="13.2" x14ac:dyDescent="0.25">
      <c r="A391" s="17"/>
      <c r="B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20"/>
      <c r="S391" s="21"/>
      <c r="T391" s="22"/>
    </row>
    <row r="392" spans="1:20" ht="13.2" x14ac:dyDescent="0.25">
      <c r="A392" s="17"/>
      <c r="B392" s="17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20"/>
      <c r="S392" s="21"/>
      <c r="T392" s="22"/>
    </row>
    <row r="393" spans="1:20" ht="13.2" x14ac:dyDescent="0.25">
      <c r="A393" s="17"/>
      <c r="B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20"/>
      <c r="S393" s="21"/>
      <c r="T393" s="22"/>
    </row>
    <row r="394" spans="1:20" ht="13.2" x14ac:dyDescent="0.25">
      <c r="A394" s="17"/>
      <c r="B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20"/>
      <c r="S394" s="21"/>
      <c r="T394" s="22"/>
    </row>
    <row r="395" spans="1:20" ht="13.2" x14ac:dyDescent="0.25">
      <c r="A395" s="17"/>
      <c r="B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20"/>
      <c r="S395" s="21"/>
      <c r="T395" s="22"/>
    </row>
    <row r="396" spans="1:20" ht="13.2" x14ac:dyDescent="0.25">
      <c r="A396" s="17"/>
      <c r="B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20"/>
      <c r="S396" s="21"/>
      <c r="T396" s="22"/>
    </row>
    <row r="397" spans="1:20" ht="13.2" x14ac:dyDescent="0.25">
      <c r="A397" s="17"/>
      <c r="B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20"/>
      <c r="S397" s="21"/>
      <c r="T397" s="22"/>
    </row>
    <row r="398" spans="1:20" ht="13.2" x14ac:dyDescent="0.25">
      <c r="A398" s="17"/>
      <c r="B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20"/>
      <c r="S398" s="21"/>
      <c r="T398" s="22"/>
    </row>
    <row r="399" spans="1:20" ht="13.2" x14ac:dyDescent="0.25">
      <c r="A399" s="17"/>
      <c r="B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20"/>
      <c r="S399" s="21"/>
      <c r="T399" s="22"/>
    </row>
    <row r="400" spans="1:20" ht="13.2" x14ac:dyDescent="0.25">
      <c r="A400" s="17"/>
      <c r="B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20"/>
      <c r="S400" s="21"/>
      <c r="T400" s="22"/>
    </row>
    <row r="401" spans="1:20" ht="13.2" x14ac:dyDescent="0.25">
      <c r="A401" s="17"/>
      <c r="B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20"/>
      <c r="S401" s="21"/>
      <c r="T401" s="22"/>
    </row>
    <row r="402" spans="1:20" ht="13.2" x14ac:dyDescent="0.25">
      <c r="A402" s="17"/>
      <c r="B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20"/>
      <c r="S402" s="21"/>
      <c r="T402" s="22"/>
    </row>
    <row r="403" spans="1:20" ht="13.2" x14ac:dyDescent="0.25">
      <c r="A403" s="17"/>
      <c r="B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20"/>
      <c r="S403" s="21"/>
      <c r="T403" s="22"/>
    </row>
    <row r="404" spans="1:20" ht="13.2" x14ac:dyDescent="0.25">
      <c r="A404" s="17"/>
      <c r="B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20"/>
      <c r="S404" s="21"/>
      <c r="T404" s="22"/>
    </row>
    <row r="405" spans="1:20" ht="13.2" x14ac:dyDescent="0.25">
      <c r="A405" s="17"/>
      <c r="B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20"/>
      <c r="S405" s="21"/>
      <c r="T405" s="22"/>
    </row>
    <row r="406" spans="1:20" ht="13.2" x14ac:dyDescent="0.25">
      <c r="A406" s="17"/>
      <c r="B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20"/>
      <c r="S406" s="21"/>
      <c r="T406" s="22"/>
    </row>
    <row r="407" spans="1:20" ht="13.2" x14ac:dyDescent="0.25">
      <c r="A407" s="17"/>
      <c r="B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20"/>
      <c r="S407" s="21"/>
      <c r="T407" s="22"/>
    </row>
    <row r="408" spans="1:20" ht="13.2" x14ac:dyDescent="0.25">
      <c r="A408" s="17"/>
      <c r="B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20"/>
      <c r="S408" s="21"/>
      <c r="T408" s="22"/>
    </row>
    <row r="409" spans="1:20" ht="13.2" x14ac:dyDescent="0.25">
      <c r="A409" s="17"/>
      <c r="B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20"/>
      <c r="S409" s="21"/>
      <c r="T409" s="22"/>
    </row>
    <row r="410" spans="1:20" ht="13.2" x14ac:dyDescent="0.25">
      <c r="A410" s="17"/>
      <c r="B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20"/>
      <c r="S410" s="21"/>
      <c r="T410" s="22"/>
    </row>
    <row r="411" spans="1:20" ht="13.2" x14ac:dyDescent="0.25">
      <c r="A411" s="17"/>
      <c r="B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20"/>
      <c r="S411" s="21"/>
      <c r="T411" s="22"/>
    </row>
    <row r="412" spans="1:20" ht="13.2" x14ac:dyDescent="0.25">
      <c r="A412" s="17"/>
      <c r="B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20"/>
      <c r="S412" s="21"/>
      <c r="T412" s="22"/>
    </row>
    <row r="413" spans="1:20" ht="13.2" x14ac:dyDescent="0.25">
      <c r="A413" s="17"/>
      <c r="B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20"/>
      <c r="S413" s="21"/>
      <c r="T413" s="22"/>
    </row>
    <row r="414" spans="1:20" ht="13.2" x14ac:dyDescent="0.25">
      <c r="A414" s="17"/>
      <c r="B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20"/>
      <c r="S414" s="21"/>
      <c r="T414" s="22"/>
    </row>
    <row r="415" spans="1:20" ht="13.2" x14ac:dyDescent="0.25">
      <c r="A415" s="17"/>
      <c r="B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20"/>
      <c r="S415" s="21"/>
      <c r="T415" s="22"/>
    </row>
    <row r="416" spans="1:20" ht="13.2" x14ac:dyDescent="0.25">
      <c r="A416" s="17"/>
      <c r="B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20"/>
      <c r="S416" s="21"/>
      <c r="T416" s="22"/>
    </row>
    <row r="417" spans="1:20" ht="13.2" x14ac:dyDescent="0.25">
      <c r="A417" s="17"/>
      <c r="B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20"/>
      <c r="S417" s="21"/>
      <c r="T417" s="22"/>
    </row>
    <row r="418" spans="1:20" ht="13.2" x14ac:dyDescent="0.25">
      <c r="A418" s="17"/>
      <c r="B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20"/>
      <c r="S418" s="21"/>
      <c r="T418" s="22"/>
    </row>
    <row r="419" spans="1:20" ht="13.2" x14ac:dyDescent="0.25">
      <c r="A419" s="17"/>
      <c r="B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20"/>
      <c r="S419" s="21"/>
      <c r="T419" s="22"/>
    </row>
    <row r="420" spans="1:20" ht="13.2" x14ac:dyDescent="0.25">
      <c r="A420" s="17"/>
      <c r="B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20"/>
      <c r="S420" s="21"/>
      <c r="T420" s="22"/>
    </row>
    <row r="421" spans="1:20" ht="13.2" x14ac:dyDescent="0.25">
      <c r="A421" s="17"/>
      <c r="B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20"/>
      <c r="S421" s="21"/>
      <c r="T421" s="22"/>
    </row>
    <row r="422" spans="1:20" ht="13.2" x14ac:dyDescent="0.25">
      <c r="A422" s="17"/>
      <c r="B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20"/>
      <c r="S422" s="21"/>
      <c r="T422" s="22"/>
    </row>
    <row r="423" spans="1:20" ht="13.2" x14ac:dyDescent="0.25">
      <c r="A423" s="17"/>
      <c r="B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20"/>
      <c r="S423" s="21"/>
      <c r="T423" s="22"/>
    </row>
    <row r="424" spans="1:20" ht="13.2" x14ac:dyDescent="0.25">
      <c r="A424" s="17"/>
      <c r="B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20"/>
      <c r="S424" s="21"/>
      <c r="T424" s="22"/>
    </row>
    <row r="425" spans="1:20" ht="13.2" x14ac:dyDescent="0.25">
      <c r="A425" s="17"/>
      <c r="B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20"/>
      <c r="S425" s="21"/>
      <c r="T425" s="22"/>
    </row>
    <row r="426" spans="1:20" ht="13.2" x14ac:dyDescent="0.25">
      <c r="A426" s="17"/>
      <c r="B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20"/>
      <c r="S426" s="21"/>
      <c r="T426" s="22"/>
    </row>
    <row r="427" spans="1:20" ht="13.2" x14ac:dyDescent="0.25">
      <c r="A427" s="17"/>
      <c r="B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20"/>
      <c r="S427" s="21"/>
      <c r="T427" s="22"/>
    </row>
    <row r="428" spans="1:20" ht="13.2" x14ac:dyDescent="0.25">
      <c r="A428" s="17"/>
      <c r="B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20"/>
      <c r="S428" s="21"/>
      <c r="T428" s="22"/>
    </row>
    <row r="429" spans="1:20" ht="13.2" x14ac:dyDescent="0.25">
      <c r="A429" s="17"/>
      <c r="B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20"/>
      <c r="S429" s="21"/>
      <c r="T429" s="22"/>
    </row>
    <row r="430" spans="1:20" ht="13.2" x14ac:dyDescent="0.25">
      <c r="A430" s="17"/>
      <c r="B430" s="17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20"/>
      <c r="S430" s="21"/>
      <c r="T430" s="22"/>
    </row>
    <row r="431" spans="1:20" ht="13.2" x14ac:dyDescent="0.25">
      <c r="A431" s="17"/>
      <c r="B431" s="17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20"/>
      <c r="S431" s="21"/>
      <c r="T431" s="22"/>
    </row>
    <row r="432" spans="1:20" ht="13.2" x14ac:dyDescent="0.25">
      <c r="A432" s="17"/>
      <c r="B432" s="17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20"/>
      <c r="S432" s="21"/>
      <c r="T432" s="22"/>
    </row>
    <row r="433" spans="1:20" ht="13.2" x14ac:dyDescent="0.25">
      <c r="A433" s="17"/>
      <c r="B433" s="17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20"/>
      <c r="S433" s="21"/>
      <c r="T433" s="22"/>
    </row>
    <row r="434" spans="1:20" ht="13.2" x14ac:dyDescent="0.25">
      <c r="A434" s="17"/>
      <c r="B434" s="17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20"/>
      <c r="S434" s="21"/>
      <c r="T434" s="22"/>
    </row>
    <row r="435" spans="1:20" ht="13.2" x14ac:dyDescent="0.25">
      <c r="A435" s="17"/>
      <c r="B435" s="17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20"/>
      <c r="S435" s="21"/>
      <c r="T435" s="22"/>
    </row>
    <row r="436" spans="1:20" ht="13.2" x14ac:dyDescent="0.25">
      <c r="A436" s="17"/>
      <c r="B436" s="17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20"/>
      <c r="S436" s="21"/>
      <c r="T436" s="22"/>
    </row>
    <row r="437" spans="1:20" ht="13.2" x14ac:dyDescent="0.25">
      <c r="A437" s="17"/>
      <c r="B437" s="17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20"/>
      <c r="S437" s="21"/>
      <c r="T437" s="22"/>
    </row>
    <row r="438" spans="1:20" ht="13.2" x14ac:dyDescent="0.25">
      <c r="A438" s="17"/>
      <c r="B438" s="17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20"/>
      <c r="S438" s="21"/>
      <c r="T438" s="22"/>
    </row>
    <row r="439" spans="1:20" ht="13.2" x14ac:dyDescent="0.25">
      <c r="A439" s="17"/>
      <c r="B439" s="17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20"/>
      <c r="S439" s="21"/>
      <c r="T439" s="22"/>
    </row>
    <row r="440" spans="1:20" ht="13.2" x14ac:dyDescent="0.25">
      <c r="A440" s="17"/>
      <c r="B440" s="17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20"/>
      <c r="S440" s="21"/>
      <c r="T440" s="22"/>
    </row>
    <row r="441" spans="1:20" ht="13.2" x14ac:dyDescent="0.25">
      <c r="A441" s="17"/>
      <c r="B441" s="17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20"/>
      <c r="S441" s="21"/>
      <c r="T441" s="22"/>
    </row>
    <row r="442" spans="1:20" ht="13.2" x14ac:dyDescent="0.25">
      <c r="A442" s="17"/>
      <c r="B442" s="17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20"/>
      <c r="S442" s="21"/>
      <c r="T442" s="22"/>
    </row>
    <row r="443" spans="1:20" ht="13.2" x14ac:dyDescent="0.25">
      <c r="A443" s="17"/>
      <c r="B443" s="17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20"/>
      <c r="S443" s="21"/>
      <c r="T443" s="22"/>
    </row>
    <row r="444" spans="1:20" ht="13.2" x14ac:dyDescent="0.25">
      <c r="A444" s="17"/>
      <c r="B444" s="17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20"/>
      <c r="S444" s="21"/>
      <c r="T444" s="22"/>
    </row>
    <row r="445" spans="1:20" ht="13.2" x14ac:dyDescent="0.25">
      <c r="A445" s="17"/>
      <c r="B445" s="17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20"/>
      <c r="S445" s="21"/>
      <c r="T445" s="22"/>
    </row>
    <row r="446" spans="1:20" ht="13.2" x14ac:dyDescent="0.25">
      <c r="A446" s="17"/>
      <c r="B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20"/>
      <c r="S446" s="21"/>
      <c r="T446" s="22"/>
    </row>
    <row r="447" spans="1:20" ht="13.2" x14ac:dyDescent="0.25">
      <c r="A447" s="17"/>
      <c r="B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20"/>
      <c r="S447" s="21"/>
      <c r="T447" s="22"/>
    </row>
    <row r="448" spans="1:20" ht="13.2" x14ac:dyDescent="0.25">
      <c r="A448" s="17"/>
      <c r="B448" s="17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20"/>
      <c r="S448" s="21"/>
      <c r="T448" s="22"/>
    </row>
    <row r="449" spans="1:20" ht="13.2" x14ac:dyDescent="0.25">
      <c r="A449" s="17"/>
      <c r="B449" s="17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20"/>
      <c r="S449" s="21"/>
      <c r="T449" s="22"/>
    </row>
    <row r="450" spans="1:20" ht="13.2" x14ac:dyDescent="0.25">
      <c r="A450" s="17"/>
      <c r="B450" s="17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20"/>
      <c r="S450" s="21"/>
      <c r="T450" s="22"/>
    </row>
    <row r="451" spans="1:20" ht="13.2" x14ac:dyDescent="0.25">
      <c r="A451" s="17"/>
      <c r="B451" s="17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20"/>
      <c r="S451" s="21"/>
      <c r="T451" s="22"/>
    </row>
    <row r="452" spans="1:20" ht="13.2" x14ac:dyDescent="0.25">
      <c r="A452" s="17"/>
      <c r="B452" s="17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20"/>
      <c r="S452" s="21"/>
      <c r="T452" s="22"/>
    </row>
    <row r="453" spans="1:20" ht="13.2" x14ac:dyDescent="0.25">
      <c r="A453" s="17"/>
      <c r="B453" s="17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20"/>
      <c r="S453" s="21"/>
      <c r="T453" s="22"/>
    </row>
    <row r="454" spans="1:20" ht="13.2" x14ac:dyDescent="0.25">
      <c r="A454" s="17"/>
      <c r="B454" s="17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20"/>
      <c r="S454" s="21"/>
      <c r="T454" s="22"/>
    </row>
    <row r="455" spans="1:20" ht="13.2" x14ac:dyDescent="0.25">
      <c r="A455" s="17"/>
      <c r="B455" s="17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20"/>
      <c r="S455" s="21"/>
      <c r="T455" s="22"/>
    </row>
    <row r="456" spans="1:20" ht="13.2" x14ac:dyDescent="0.25">
      <c r="A456" s="17"/>
      <c r="B456" s="17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20"/>
      <c r="S456" s="21"/>
      <c r="T456" s="22"/>
    </row>
    <row r="457" spans="1:20" ht="13.2" x14ac:dyDescent="0.25">
      <c r="A457" s="17"/>
      <c r="B457" s="17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20"/>
      <c r="S457" s="21"/>
      <c r="T457" s="22"/>
    </row>
    <row r="458" spans="1:20" ht="13.2" x14ac:dyDescent="0.25">
      <c r="A458" s="17"/>
      <c r="B458" s="17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20"/>
      <c r="S458" s="21"/>
      <c r="T458" s="22"/>
    </row>
    <row r="459" spans="1:20" ht="13.2" x14ac:dyDescent="0.25">
      <c r="A459" s="17"/>
      <c r="B459" s="17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20"/>
      <c r="S459" s="21"/>
      <c r="T459" s="22"/>
    </row>
    <row r="460" spans="1:20" ht="13.2" x14ac:dyDescent="0.25">
      <c r="A460" s="17"/>
      <c r="B460" s="17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20"/>
      <c r="S460" s="21"/>
      <c r="T460" s="22"/>
    </row>
    <row r="461" spans="1:20" ht="13.2" x14ac:dyDescent="0.25">
      <c r="A461" s="17"/>
      <c r="B461" s="17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20"/>
      <c r="S461" s="21"/>
      <c r="T461" s="22"/>
    </row>
    <row r="462" spans="1:20" ht="13.2" x14ac:dyDescent="0.25">
      <c r="A462" s="17"/>
      <c r="B462" s="17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20"/>
      <c r="S462" s="21"/>
      <c r="T462" s="22"/>
    </row>
    <row r="463" spans="1:20" ht="13.2" x14ac:dyDescent="0.25">
      <c r="A463" s="17"/>
      <c r="B463" s="17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20"/>
      <c r="S463" s="21"/>
      <c r="T463" s="22"/>
    </row>
    <row r="464" spans="1:20" ht="13.2" x14ac:dyDescent="0.25">
      <c r="A464" s="17"/>
      <c r="B464" s="17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20"/>
      <c r="S464" s="21"/>
      <c r="T464" s="22"/>
    </row>
    <row r="465" spans="1:20" ht="13.2" x14ac:dyDescent="0.25">
      <c r="A465" s="17"/>
      <c r="B465" s="17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20"/>
      <c r="S465" s="21"/>
      <c r="T465" s="22"/>
    </row>
    <row r="466" spans="1:20" ht="13.2" x14ac:dyDescent="0.25">
      <c r="A466" s="17"/>
      <c r="B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20"/>
      <c r="S466" s="21"/>
      <c r="T466" s="22"/>
    </row>
    <row r="467" spans="1:20" ht="13.2" x14ac:dyDescent="0.25">
      <c r="A467" s="17"/>
      <c r="B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20"/>
      <c r="S467" s="21"/>
      <c r="T467" s="22"/>
    </row>
    <row r="468" spans="1:20" ht="13.2" x14ac:dyDescent="0.25">
      <c r="A468" s="17"/>
      <c r="B468" s="17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20"/>
      <c r="S468" s="21"/>
      <c r="T468" s="22"/>
    </row>
    <row r="469" spans="1:20" ht="13.2" x14ac:dyDescent="0.25">
      <c r="A469" s="17"/>
      <c r="B469" s="17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20"/>
      <c r="S469" s="21"/>
      <c r="T469" s="22"/>
    </row>
    <row r="470" spans="1:20" ht="13.2" x14ac:dyDescent="0.25">
      <c r="A470" s="17"/>
      <c r="B470" s="17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20"/>
      <c r="S470" s="21"/>
      <c r="T470" s="22"/>
    </row>
    <row r="471" spans="1:20" ht="13.2" x14ac:dyDescent="0.25">
      <c r="A471" s="17"/>
      <c r="B471" s="17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20"/>
      <c r="S471" s="21"/>
      <c r="T471" s="22"/>
    </row>
    <row r="472" spans="1:20" ht="13.2" x14ac:dyDescent="0.25">
      <c r="A472" s="17"/>
      <c r="B472" s="17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20"/>
      <c r="S472" s="21"/>
      <c r="T472" s="22"/>
    </row>
    <row r="473" spans="1:20" ht="13.2" x14ac:dyDescent="0.25">
      <c r="A473" s="17"/>
      <c r="B473" s="17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20"/>
      <c r="S473" s="21"/>
      <c r="T473" s="22"/>
    </row>
    <row r="474" spans="1:20" ht="13.2" x14ac:dyDescent="0.25">
      <c r="A474" s="17"/>
      <c r="B474" s="17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20"/>
      <c r="S474" s="21"/>
      <c r="T474" s="22"/>
    </row>
    <row r="475" spans="1:20" ht="13.2" x14ac:dyDescent="0.25">
      <c r="A475" s="17"/>
      <c r="B475" s="17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20"/>
      <c r="S475" s="21"/>
      <c r="T475" s="22"/>
    </row>
    <row r="476" spans="1:20" ht="13.2" x14ac:dyDescent="0.25">
      <c r="A476" s="17"/>
      <c r="B476" s="17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20"/>
      <c r="S476" s="21"/>
      <c r="T476" s="22"/>
    </row>
    <row r="477" spans="1:20" ht="13.2" x14ac:dyDescent="0.25">
      <c r="A477" s="17"/>
      <c r="B477" s="17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20"/>
      <c r="S477" s="21"/>
      <c r="T477" s="22"/>
    </row>
    <row r="478" spans="1:20" ht="13.2" x14ac:dyDescent="0.25">
      <c r="A478" s="17"/>
      <c r="B478" s="17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20"/>
      <c r="S478" s="21"/>
      <c r="T478" s="22"/>
    </row>
    <row r="479" spans="1:20" ht="13.2" x14ac:dyDescent="0.25">
      <c r="A479" s="17"/>
      <c r="B479" s="17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20"/>
      <c r="S479" s="21"/>
      <c r="T479" s="22"/>
    </row>
    <row r="480" spans="1:20" ht="13.2" x14ac:dyDescent="0.25">
      <c r="A480" s="17"/>
      <c r="B480" s="17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20"/>
      <c r="S480" s="21"/>
      <c r="T480" s="22"/>
    </row>
    <row r="481" spans="1:20" ht="13.2" x14ac:dyDescent="0.25">
      <c r="A481" s="17"/>
      <c r="B481" s="17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20"/>
      <c r="S481" s="21"/>
      <c r="T481" s="22"/>
    </row>
    <row r="482" spans="1:20" ht="13.2" x14ac:dyDescent="0.25">
      <c r="A482" s="17"/>
      <c r="B482" s="17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20"/>
      <c r="S482" s="21"/>
      <c r="T482" s="22"/>
    </row>
    <row r="483" spans="1:20" ht="13.2" x14ac:dyDescent="0.25">
      <c r="A483" s="17"/>
      <c r="B483" s="17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20"/>
      <c r="S483" s="21"/>
      <c r="T483" s="22"/>
    </row>
    <row r="484" spans="1:20" ht="13.2" x14ac:dyDescent="0.25">
      <c r="A484" s="17"/>
      <c r="B484" s="17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20"/>
      <c r="S484" s="21"/>
      <c r="T484" s="22"/>
    </row>
    <row r="485" spans="1:20" ht="13.2" x14ac:dyDescent="0.25">
      <c r="A485" s="17"/>
      <c r="B485" s="17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20"/>
      <c r="S485" s="21"/>
      <c r="T485" s="22"/>
    </row>
    <row r="486" spans="1:20" ht="13.2" x14ac:dyDescent="0.25">
      <c r="A486" s="17"/>
      <c r="B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20"/>
      <c r="S486" s="21"/>
      <c r="T486" s="22"/>
    </row>
    <row r="487" spans="1:20" ht="13.2" x14ac:dyDescent="0.25">
      <c r="A487" s="17"/>
      <c r="B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20"/>
      <c r="S487" s="21"/>
      <c r="T487" s="22"/>
    </row>
    <row r="488" spans="1:20" ht="13.2" x14ac:dyDescent="0.25">
      <c r="A488" s="17"/>
      <c r="B488" s="17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20"/>
      <c r="S488" s="21"/>
      <c r="T488" s="22"/>
    </row>
    <row r="489" spans="1:20" ht="13.2" x14ac:dyDescent="0.25">
      <c r="A489" s="17"/>
      <c r="B489" s="17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20"/>
      <c r="S489" s="21"/>
      <c r="T489" s="22"/>
    </row>
    <row r="490" spans="1:20" ht="13.2" x14ac:dyDescent="0.25">
      <c r="A490" s="17"/>
      <c r="B490" s="17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20"/>
      <c r="S490" s="21"/>
      <c r="T490" s="22"/>
    </row>
    <row r="491" spans="1:20" ht="13.2" x14ac:dyDescent="0.25">
      <c r="A491" s="17"/>
      <c r="B491" s="17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20"/>
      <c r="S491" s="21"/>
      <c r="T491" s="22"/>
    </row>
    <row r="492" spans="1:20" ht="13.2" x14ac:dyDescent="0.25">
      <c r="A492" s="17"/>
      <c r="B492" s="17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20"/>
      <c r="S492" s="21"/>
      <c r="T492" s="22"/>
    </row>
    <row r="493" spans="1:20" ht="13.2" x14ac:dyDescent="0.25">
      <c r="A493" s="17"/>
      <c r="B493" s="17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20"/>
      <c r="S493" s="21"/>
      <c r="T493" s="22"/>
    </row>
    <row r="494" spans="1:20" ht="13.2" x14ac:dyDescent="0.25">
      <c r="A494" s="17"/>
      <c r="B494" s="17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20"/>
      <c r="S494" s="21"/>
      <c r="T494" s="22"/>
    </row>
    <row r="495" spans="1:20" ht="13.2" x14ac:dyDescent="0.25">
      <c r="A495" s="17"/>
      <c r="B495" s="17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20"/>
      <c r="S495" s="21"/>
      <c r="T495" s="22"/>
    </row>
    <row r="496" spans="1:20" ht="13.2" x14ac:dyDescent="0.25">
      <c r="A496" s="17"/>
      <c r="B496" s="17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20"/>
      <c r="S496" s="21"/>
      <c r="T496" s="22"/>
    </row>
    <row r="497" spans="1:20" ht="13.2" x14ac:dyDescent="0.25">
      <c r="A497" s="17"/>
      <c r="B497" s="17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20"/>
      <c r="S497" s="21"/>
      <c r="T497" s="22"/>
    </row>
    <row r="498" spans="1:20" ht="13.2" x14ac:dyDescent="0.25">
      <c r="A498" s="17"/>
      <c r="B498" s="17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20"/>
      <c r="S498" s="21"/>
      <c r="T498" s="22"/>
    </row>
    <row r="499" spans="1:20" ht="13.2" x14ac:dyDescent="0.25">
      <c r="A499" s="17"/>
      <c r="B499" s="17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20"/>
      <c r="S499" s="21"/>
      <c r="T499" s="22"/>
    </row>
    <row r="500" spans="1:20" ht="13.2" x14ac:dyDescent="0.25">
      <c r="A500" s="17"/>
      <c r="B500" s="17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20"/>
      <c r="S500" s="21"/>
      <c r="T500" s="22"/>
    </row>
    <row r="501" spans="1:20" ht="13.2" x14ac:dyDescent="0.25">
      <c r="A501" s="17"/>
      <c r="B501" s="17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20"/>
      <c r="S501" s="21"/>
      <c r="T501" s="22"/>
    </row>
    <row r="502" spans="1:20" ht="13.2" x14ac:dyDescent="0.25">
      <c r="A502" s="17"/>
      <c r="B502" s="17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20"/>
      <c r="S502" s="21"/>
      <c r="T502" s="22"/>
    </row>
    <row r="503" spans="1:20" ht="13.2" x14ac:dyDescent="0.25">
      <c r="A503" s="17"/>
      <c r="B503" s="17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20"/>
      <c r="S503" s="21"/>
      <c r="T503" s="22"/>
    </row>
    <row r="504" spans="1:20" ht="13.2" x14ac:dyDescent="0.25">
      <c r="A504" s="17"/>
      <c r="B504" s="17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20"/>
      <c r="S504" s="21"/>
      <c r="T504" s="22"/>
    </row>
    <row r="505" spans="1:20" ht="13.2" x14ac:dyDescent="0.25">
      <c r="A505" s="17"/>
      <c r="B505" s="17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20"/>
      <c r="S505" s="21"/>
      <c r="T505" s="22"/>
    </row>
    <row r="506" spans="1:20" ht="13.2" x14ac:dyDescent="0.25">
      <c r="A506" s="17"/>
      <c r="B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20"/>
      <c r="S506" s="21"/>
      <c r="T506" s="22"/>
    </row>
    <row r="507" spans="1:20" ht="13.2" x14ac:dyDescent="0.25">
      <c r="A507" s="17"/>
      <c r="B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20"/>
      <c r="S507" s="21"/>
      <c r="T507" s="22"/>
    </row>
    <row r="508" spans="1:20" ht="13.2" x14ac:dyDescent="0.25">
      <c r="A508" s="17"/>
      <c r="B508" s="17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20"/>
      <c r="S508" s="21"/>
      <c r="T508" s="22"/>
    </row>
    <row r="509" spans="1:20" ht="13.2" x14ac:dyDescent="0.25">
      <c r="A509" s="17"/>
      <c r="B509" s="17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20"/>
      <c r="S509" s="21"/>
      <c r="T509" s="22"/>
    </row>
    <row r="510" spans="1:20" ht="13.2" x14ac:dyDescent="0.25">
      <c r="A510" s="17"/>
      <c r="B510" s="17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20"/>
      <c r="S510" s="21"/>
      <c r="T510" s="22"/>
    </row>
    <row r="511" spans="1:20" ht="13.2" x14ac:dyDescent="0.25">
      <c r="A511" s="17"/>
      <c r="B511" s="17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20"/>
      <c r="S511" s="21"/>
      <c r="T511" s="22"/>
    </row>
    <row r="512" spans="1:20" ht="13.2" x14ac:dyDescent="0.25">
      <c r="A512" s="17"/>
      <c r="B512" s="17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20"/>
      <c r="S512" s="21"/>
      <c r="T512" s="22"/>
    </row>
    <row r="513" spans="1:20" ht="13.2" x14ac:dyDescent="0.25">
      <c r="A513" s="17"/>
      <c r="B513" s="17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20"/>
      <c r="S513" s="21"/>
      <c r="T513" s="22"/>
    </row>
    <row r="514" spans="1:20" ht="13.2" x14ac:dyDescent="0.25">
      <c r="A514" s="17"/>
      <c r="B514" s="17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20"/>
      <c r="S514" s="21"/>
      <c r="T514" s="22"/>
    </row>
    <row r="515" spans="1:20" ht="13.2" x14ac:dyDescent="0.25">
      <c r="A515" s="17"/>
      <c r="B515" s="17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20"/>
      <c r="S515" s="21"/>
      <c r="T515" s="22"/>
    </row>
    <row r="516" spans="1:20" ht="13.2" x14ac:dyDescent="0.25">
      <c r="A516" s="17"/>
      <c r="B516" s="17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20"/>
      <c r="S516" s="21"/>
      <c r="T516" s="22"/>
    </row>
    <row r="517" spans="1:20" ht="13.2" x14ac:dyDescent="0.25">
      <c r="A517" s="17"/>
      <c r="B517" s="17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20"/>
      <c r="S517" s="21"/>
      <c r="T517" s="22"/>
    </row>
    <row r="518" spans="1:20" ht="13.2" x14ac:dyDescent="0.25">
      <c r="A518" s="17"/>
      <c r="B518" s="17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20"/>
      <c r="S518" s="21"/>
      <c r="T518" s="22"/>
    </row>
    <row r="519" spans="1:20" ht="13.2" x14ac:dyDescent="0.25">
      <c r="A519" s="17"/>
      <c r="B519" s="17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20"/>
      <c r="S519" s="21"/>
      <c r="T519" s="22"/>
    </row>
    <row r="520" spans="1:20" ht="13.2" x14ac:dyDescent="0.25">
      <c r="A520" s="17"/>
      <c r="B520" s="17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20"/>
      <c r="S520" s="21"/>
      <c r="T520" s="22"/>
    </row>
    <row r="521" spans="1:20" ht="13.2" x14ac:dyDescent="0.25">
      <c r="A521" s="17"/>
      <c r="B521" s="17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20"/>
      <c r="S521" s="21"/>
      <c r="T521" s="22"/>
    </row>
    <row r="522" spans="1:20" ht="13.2" x14ac:dyDescent="0.25">
      <c r="A522" s="17"/>
      <c r="B522" s="17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20"/>
      <c r="S522" s="21"/>
      <c r="T522" s="22"/>
    </row>
    <row r="523" spans="1:20" ht="13.2" x14ac:dyDescent="0.25">
      <c r="A523" s="17"/>
      <c r="B523" s="17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20"/>
      <c r="S523" s="21"/>
      <c r="T523" s="22"/>
    </row>
    <row r="524" spans="1:20" ht="13.2" x14ac:dyDescent="0.25">
      <c r="A524" s="17"/>
      <c r="B524" s="17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20"/>
      <c r="S524" s="21"/>
      <c r="T524" s="22"/>
    </row>
    <row r="525" spans="1:20" ht="13.2" x14ac:dyDescent="0.25">
      <c r="A525" s="17"/>
      <c r="B525" s="17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20"/>
      <c r="S525" s="21"/>
      <c r="T525" s="22"/>
    </row>
    <row r="526" spans="1:20" ht="13.2" x14ac:dyDescent="0.25">
      <c r="A526" s="17"/>
      <c r="B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20"/>
      <c r="S526" s="21"/>
      <c r="T526" s="22"/>
    </row>
    <row r="527" spans="1:20" ht="13.2" x14ac:dyDescent="0.25">
      <c r="A527" s="17"/>
      <c r="B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20"/>
      <c r="S527" s="21"/>
      <c r="T527" s="22"/>
    </row>
    <row r="528" spans="1:20" ht="13.2" x14ac:dyDescent="0.25">
      <c r="A528" s="17"/>
      <c r="B528" s="17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20"/>
      <c r="S528" s="21"/>
      <c r="T528" s="22"/>
    </row>
    <row r="529" spans="1:20" ht="13.2" x14ac:dyDescent="0.25">
      <c r="A529" s="17"/>
      <c r="B529" s="17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20"/>
      <c r="S529" s="21"/>
      <c r="T529" s="22"/>
    </row>
    <row r="530" spans="1:20" ht="13.2" x14ac:dyDescent="0.25">
      <c r="A530" s="17"/>
      <c r="B530" s="17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20"/>
      <c r="S530" s="21"/>
      <c r="T530" s="22"/>
    </row>
    <row r="531" spans="1:20" ht="13.2" x14ac:dyDescent="0.25">
      <c r="A531" s="17"/>
      <c r="B531" s="17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20"/>
      <c r="S531" s="21"/>
      <c r="T531" s="22"/>
    </row>
    <row r="532" spans="1:20" ht="13.2" x14ac:dyDescent="0.25">
      <c r="A532" s="17"/>
      <c r="B532" s="17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20"/>
      <c r="S532" s="21"/>
      <c r="T532" s="22"/>
    </row>
    <row r="533" spans="1:20" ht="13.2" x14ac:dyDescent="0.25">
      <c r="A533" s="17"/>
      <c r="B533" s="17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20"/>
      <c r="S533" s="21"/>
      <c r="T533" s="22"/>
    </row>
    <row r="534" spans="1:20" ht="13.2" x14ac:dyDescent="0.25">
      <c r="A534" s="17"/>
      <c r="B534" s="17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20"/>
      <c r="S534" s="21"/>
      <c r="T534" s="22"/>
    </row>
    <row r="535" spans="1:20" ht="13.2" x14ac:dyDescent="0.25">
      <c r="A535" s="17"/>
      <c r="B535" s="17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20"/>
      <c r="S535" s="21"/>
      <c r="T535" s="22"/>
    </row>
    <row r="536" spans="1:20" ht="13.2" x14ac:dyDescent="0.25">
      <c r="A536" s="17"/>
      <c r="B536" s="17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20"/>
      <c r="S536" s="21"/>
      <c r="T536" s="22"/>
    </row>
    <row r="537" spans="1:20" ht="13.2" x14ac:dyDescent="0.25">
      <c r="A537" s="17"/>
      <c r="B537" s="17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20"/>
      <c r="S537" s="21"/>
      <c r="T537" s="22"/>
    </row>
    <row r="538" spans="1:20" ht="13.2" x14ac:dyDescent="0.25">
      <c r="A538" s="17"/>
      <c r="B538" s="17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20"/>
      <c r="S538" s="21"/>
      <c r="T538" s="22"/>
    </row>
    <row r="539" spans="1:20" ht="13.2" x14ac:dyDescent="0.25">
      <c r="A539" s="17"/>
      <c r="B539" s="17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20"/>
      <c r="S539" s="21"/>
      <c r="T539" s="22"/>
    </row>
    <row r="540" spans="1:20" ht="13.2" x14ac:dyDescent="0.25">
      <c r="A540" s="17"/>
      <c r="B540" s="17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20"/>
      <c r="S540" s="21"/>
      <c r="T540" s="22"/>
    </row>
    <row r="541" spans="1:20" ht="13.2" x14ac:dyDescent="0.25">
      <c r="A541" s="17"/>
      <c r="B541" s="17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20"/>
      <c r="S541" s="21"/>
      <c r="T541" s="22"/>
    </row>
    <row r="542" spans="1:20" ht="13.2" x14ac:dyDescent="0.25">
      <c r="A542" s="17"/>
      <c r="B542" s="17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20"/>
      <c r="S542" s="21"/>
      <c r="T542" s="22"/>
    </row>
    <row r="543" spans="1:20" ht="13.2" x14ac:dyDescent="0.25">
      <c r="A543" s="17"/>
      <c r="B543" s="17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20"/>
      <c r="S543" s="21"/>
      <c r="T543" s="22"/>
    </row>
    <row r="544" spans="1:20" ht="13.2" x14ac:dyDescent="0.25">
      <c r="A544" s="17"/>
      <c r="B544" s="17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20"/>
      <c r="S544" s="21"/>
      <c r="T544" s="22"/>
    </row>
    <row r="545" spans="1:20" ht="13.2" x14ac:dyDescent="0.25">
      <c r="A545" s="17"/>
      <c r="B545" s="17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20"/>
      <c r="S545" s="21"/>
      <c r="T545" s="22"/>
    </row>
    <row r="546" spans="1:20" ht="13.2" x14ac:dyDescent="0.25">
      <c r="A546" s="17"/>
      <c r="B546" s="17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20"/>
      <c r="S546" s="21"/>
      <c r="T546" s="22"/>
    </row>
    <row r="547" spans="1:20" ht="13.2" x14ac:dyDescent="0.25">
      <c r="A547" s="17"/>
      <c r="B547" s="17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20"/>
      <c r="S547" s="21"/>
      <c r="T547" s="22"/>
    </row>
    <row r="548" spans="1:20" ht="13.2" x14ac:dyDescent="0.25">
      <c r="A548" s="17"/>
      <c r="B548" s="17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20"/>
      <c r="S548" s="21"/>
      <c r="T548" s="22"/>
    </row>
    <row r="549" spans="1:20" ht="13.2" x14ac:dyDescent="0.25">
      <c r="A549" s="17"/>
      <c r="B549" s="17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20"/>
      <c r="S549" s="21"/>
      <c r="T549" s="22"/>
    </row>
    <row r="550" spans="1:20" ht="13.2" x14ac:dyDescent="0.25">
      <c r="A550" s="17"/>
      <c r="B550" s="17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20"/>
      <c r="S550" s="21"/>
      <c r="T550" s="22"/>
    </row>
    <row r="551" spans="1:20" ht="13.2" x14ac:dyDescent="0.25">
      <c r="A551" s="17"/>
      <c r="B551" s="17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20"/>
      <c r="S551" s="21"/>
      <c r="T551" s="22"/>
    </row>
    <row r="552" spans="1:20" ht="13.2" x14ac:dyDescent="0.25">
      <c r="A552" s="17"/>
      <c r="B552" s="17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20"/>
      <c r="S552" s="21"/>
      <c r="T552" s="22"/>
    </row>
    <row r="553" spans="1:20" ht="13.2" x14ac:dyDescent="0.25">
      <c r="A553" s="17"/>
      <c r="B553" s="17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20"/>
      <c r="S553" s="21"/>
      <c r="T553" s="22"/>
    </row>
    <row r="554" spans="1:20" ht="13.2" x14ac:dyDescent="0.25">
      <c r="A554" s="17"/>
      <c r="B554" s="17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20"/>
      <c r="S554" s="21"/>
      <c r="T554" s="22"/>
    </row>
    <row r="555" spans="1:20" ht="13.2" x14ac:dyDescent="0.25">
      <c r="A555" s="17"/>
      <c r="B555" s="17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20"/>
      <c r="S555" s="21"/>
      <c r="T555" s="22"/>
    </row>
    <row r="556" spans="1:20" ht="13.2" x14ac:dyDescent="0.25">
      <c r="A556" s="17"/>
      <c r="B556" s="17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20"/>
      <c r="S556" s="21"/>
      <c r="T556" s="22"/>
    </row>
    <row r="557" spans="1:20" ht="13.2" x14ac:dyDescent="0.25">
      <c r="A557" s="17"/>
      <c r="B557" s="17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20"/>
      <c r="S557" s="21"/>
      <c r="T557" s="22"/>
    </row>
    <row r="558" spans="1:20" ht="13.2" x14ac:dyDescent="0.25">
      <c r="A558" s="17"/>
      <c r="B558" s="17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20"/>
      <c r="S558" s="21"/>
      <c r="T558" s="22"/>
    </row>
    <row r="559" spans="1:20" ht="13.2" x14ac:dyDescent="0.25">
      <c r="A559" s="17"/>
      <c r="B559" s="17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20"/>
      <c r="S559" s="21"/>
      <c r="T559" s="22"/>
    </row>
    <row r="560" spans="1:20" ht="13.2" x14ac:dyDescent="0.25">
      <c r="A560" s="17"/>
      <c r="B560" s="17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20"/>
      <c r="S560" s="21"/>
      <c r="T560" s="22"/>
    </row>
    <row r="561" spans="1:20" ht="13.2" x14ac:dyDescent="0.25">
      <c r="A561" s="17"/>
      <c r="B561" s="17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20"/>
      <c r="S561" s="21"/>
      <c r="T561" s="22"/>
    </row>
    <row r="562" spans="1:20" ht="13.2" x14ac:dyDescent="0.25">
      <c r="A562" s="17"/>
      <c r="B562" s="17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20"/>
      <c r="S562" s="21"/>
      <c r="T562" s="22"/>
    </row>
    <row r="563" spans="1:20" ht="13.2" x14ac:dyDescent="0.25">
      <c r="A563" s="17"/>
      <c r="B563" s="17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20"/>
      <c r="S563" s="21"/>
      <c r="T563" s="22"/>
    </row>
    <row r="564" spans="1:20" ht="13.2" x14ac:dyDescent="0.25">
      <c r="A564" s="17"/>
      <c r="B564" s="17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20"/>
      <c r="S564" s="21"/>
      <c r="T564" s="22"/>
    </row>
    <row r="565" spans="1:20" ht="13.2" x14ac:dyDescent="0.25">
      <c r="A565" s="17"/>
      <c r="B565" s="17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20"/>
      <c r="S565" s="21"/>
      <c r="T565" s="22"/>
    </row>
    <row r="566" spans="1:20" ht="13.2" x14ac:dyDescent="0.25">
      <c r="A566" s="17"/>
      <c r="B566" s="17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20"/>
      <c r="S566" s="21"/>
      <c r="T566" s="22"/>
    </row>
    <row r="567" spans="1:20" ht="13.2" x14ac:dyDescent="0.25">
      <c r="A567" s="17"/>
      <c r="B567" s="17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20"/>
      <c r="S567" s="21"/>
      <c r="T567" s="22"/>
    </row>
    <row r="568" spans="1:20" ht="13.2" x14ac:dyDescent="0.25">
      <c r="A568" s="17"/>
      <c r="B568" s="17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20"/>
      <c r="S568" s="21"/>
      <c r="T568" s="22"/>
    </row>
    <row r="569" spans="1:20" ht="13.2" x14ac:dyDescent="0.25">
      <c r="A569" s="17"/>
      <c r="B569" s="17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20"/>
      <c r="S569" s="21"/>
      <c r="T569" s="22"/>
    </row>
    <row r="570" spans="1:20" ht="13.2" x14ac:dyDescent="0.25">
      <c r="A570" s="17"/>
      <c r="B570" s="17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20"/>
      <c r="S570" s="21"/>
      <c r="T570" s="22"/>
    </row>
    <row r="571" spans="1:20" ht="13.2" x14ac:dyDescent="0.25">
      <c r="A571" s="17"/>
      <c r="B571" s="17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20"/>
      <c r="S571" s="21"/>
      <c r="T571" s="22"/>
    </row>
    <row r="572" spans="1:20" ht="13.2" x14ac:dyDescent="0.25">
      <c r="A572" s="17"/>
      <c r="B572" s="17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20"/>
      <c r="S572" s="21"/>
      <c r="T572" s="22"/>
    </row>
    <row r="573" spans="1:20" ht="13.2" x14ac:dyDescent="0.25">
      <c r="A573" s="17"/>
      <c r="B573" s="17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20"/>
      <c r="S573" s="21"/>
      <c r="T573" s="22"/>
    </row>
    <row r="574" spans="1:20" ht="13.2" x14ac:dyDescent="0.25">
      <c r="A574" s="17"/>
      <c r="B574" s="17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20"/>
      <c r="S574" s="21"/>
      <c r="T574" s="22"/>
    </row>
    <row r="575" spans="1:20" ht="13.2" x14ac:dyDescent="0.25">
      <c r="A575" s="17"/>
      <c r="B575" s="17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20"/>
      <c r="S575" s="21"/>
      <c r="T575" s="22"/>
    </row>
    <row r="576" spans="1:20" ht="13.2" x14ac:dyDescent="0.25">
      <c r="A576" s="17"/>
      <c r="B576" s="17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20"/>
      <c r="S576" s="21"/>
      <c r="T576" s="22"/>
    </row>
    <row r="577" spans="1:20" ht="13.2" x14ac:dyDescent="0.25">
      <c r="A577" s="17"/>
      <c r="B577" s="17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20"/>
      <c r="S577" s="21"/>
      <c r="T577" s="22"/>
    </row>
    <row r="578" spans="1:20" ht="13.2" x14ac:dyDescent="0.25">
      <c r="A578" s="17"/>
      <c r="B578" s="17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20"/>
      <c r="S578" s="21"/>
      <c r="T578" s="22"/>
    </row>
    <row r="579" spans="1:20" ht="13.2" x14ac:dyDescent="0.25">
      <c r="A579" s="17"/>
      <c r="B579" s="17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20"/>
      <c r="S579" s="21"/>
      <c r="T579" s="22"/>
    </row>
    <row r="580" spans="1:20" ht="13.2" x14ac:dyDescent="0.25">
      <c r="A580" s="17"/>
      <c r="B580" s="17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20"/>
      <c r="S580" s="21"/>
      <c r="T580" s="22"/>
    </row>
    <row r="581" spans="1:20" ht="13.2" x14ac:dyDescent="0.25">
      <c r="A581" s="17"/>
      <c r="B581" s="17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20"/>
      <c r="S581" s="21"/>
      <c r="T581" s="22"/>
    </row>
    <row r="582" spans="1:20" ht="13.2" x14ac:dyDescent="0.25">
      <c r="A582" s="17"/>
      <c r="B582" s="17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20"/>
      <c r="S582" s="21"/>
      <c r="T582" s="22"/>
    </row>
    <row r="583" spans="1:20" ht="13.2" x14ac:dyDescent="0.25">
      <c r="A583" s="17"/>
      <c r="B583" s="17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20"/>
      <c r="S583" s="21"/>
      <c r="T583" s="22"/>
    </row>
    <row r="584" spans="1:20" ht="13.2" x14ac:dyDescent="0.25">
      <c r="A584" s="17"/>
      <c r="B584" s="17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20"/>
      <c r="S584" s="21"/>
      <c r="T584" s="22"/>
    </row>
    <row r="585" spans="1:20" ht="13.2" x14ac:dyDescent="0.25">
      <c r="A585" s="17"/>
      <c r="B585" s="17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20"/>
      <c r="S585" s="21"/>
      <c r="T585" s="22"/>
    </row>
    <row r="586" spans="1:20" ht="13.2" x14ac:dyDescent="0.25">
      <c r="A586" s="17"/>
      <c r="B586" s="17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20"/>
      <c r="S586" s="21"/>
      <c r="T586" s="22"/>
    </row>
    <row r="587" spans="1:20" ht="13.2" x14ac:dyDescent="0.25">
      <c r="A587" s="17"/>
      <c r="B587" s="17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20"/>
      <c r="S587" s="21"/>
      <c r="T587" s="22"/>
    </row>
    <row r="588" spans="1:20" ht="13.2" x14ac:dyDescent="0.25">
      <c r="A588" s="17"/>
      <c r="B588" s="17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20"/>
      <c r="S588" s="21"/>
      <c r="T588" s="22"/>
    </row>
    <row r="589" spans="1:20" ht="13.2" x14ac:dyDescent="0.25">
      <c r="A589" s="17"/>
      <c r="B589" s="17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20"/>
      <c r="S589" s="21"/>
      <c r="T589" s="22"/>
    </row>
    <row r="590" spans="1:20" ht="13.2" x14ac:dyDescent="0.25">
      <c r="A590" s="17"/>
      <c r="B590" s="17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20"/>
      <c r="S590" s="21"/>
      <c r="T590" s="22"/>
    </row>
    <row r="591" spans="1:20" ht="13.2" x14ac:dyDescent="0.25">
      <c r="A591" s="17"/>
      <c r="B591" s="17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20"/>
      <c r="S591" s="21"/>
      <c r="T591" s="22"/>
    </row>
    <row r="592" spans="1:20" ht="13.2" x14ac:dyDescent="0.25">
      <c r="A592" s="17"/>
      <c r="B592" s="17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20"/>
      <c r="S592" s="21"/>
      <c r="T592" s="22"/>
    </row>
    <row r="593" spans="1:20" ht="13.2" x14ac:dyDescent="0.25">
      <c r="A593" s="17"/>
      <c r="B593" s="17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20"/>
      <c r="S593" s="21"/>
      <c r="T593" s="22"/>
    </row>
    <row r="594" spans="1:20" ht="13.2" x14ac:dyDescent="0.25">
      <c r="A594" s="17"/>
      <c r="B594" s="17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20"/>
      <c r="S594" s="21"/>
      <c r="T594" s="22"/>
    </row>
    <row r="595" spans="1:20" ht="13.2" x14ac:dyDescent="0.25">
      <c r="A595" s="17"/>
      <c r="B595" s="17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20"/>
      <c r="S595" s="21"/>
      <c r="T595" s="22"/>
    </row>
    <row r="596" spans="1:20" ht="13.2" x14ac:dyDescent="0.25">
      <c r="A596" s="17"/>
      <c r="B596" s="17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20"/>
      <c r="S596" s="21"/>
      <c r="T596" s="22"/>
    </row>
    <row r="597" spans="1:20" ht="13.2" x14ac:dyDescent="0.25">
      <c r="A597" s="17"/>
      <c r="B597" s="17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20"/>
      <c r="S597" s="21"/>
      <c r="T597" s="22"/>
    </row>
    <row r="598" spans="1:20" ht="13.2" x14ac:dyDescent="0.25">
      <c r="A598" s="17"/>
      <c r="B598" s="17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20"/>
      <c r="S598" s="21"/>
      <c r="T598" s="22"/>
    </row>
    <row r="599" spans="1:20" ht="13.2" x14ac:dyDescent="0.25">
      <c r="A599" s="17"/>
      <c r="B599" s="17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20"/>
      <c r="S599" s="21"/>
      <c r="T599" s="22"/>
    </row>
    <row r="600" spans="1:20" ht="13.2" x14ac:dyDescent="0.25">
      <c r="A600" s="17"/>
      <c r="B600" s="17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20"/>
      <c r="S600" s="21"/>
      <c r="T600" s="22"/>
    </row>
    <row r="601" spans="1:20" ht="13.2" x14ac:dyDescent="0.25">
      <c r="A601" s="17"/>
      <c r="B601" s="17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20"/>
      <c r="S601" s="21"/>
      <c r="T601" s="22"/>
    </row>
    <row r="602" spans="1:20" ht="13.2" x14ac:dyDescent="0.25">
      <c r="A602" s="17"/>
      <c r="B602" s="17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20"/>
      <c r="S602" s="21"/>
      <c r="T602" s="22"/>
    </row>
    <row r="603" spans="1:20" ht="13.2" x14ac:dyDescent="0.25">
      <c r="A603" s="17"/>
      <c r="B603" s="17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20"/>
      <c r="S603" s="21"/>
      <c r="T603" s="22"/>
    </row>
    <row r="604" spans="1:20" ht="13.2" x14ac:dyDescent="0.25">
      <c r="A604" s="17"/>
      <c r="B604" s="17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20"/>
      <c r="S604" s="21"/>
      <c r="T604" s="22"/>
    </row>
    <row r="605" spans="1:20" ht="13.2" x14ac:dyDescent="0.25">
      <c r="A605" s="17"/>
      <c r="B605" s="17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20"/>
      <c r="S605" s="21"/>
      <c r="T605" s="22"/>
    </row>
    <row r="606" spans="1:20" ht="13.2" x14ac:dyDescent="0.25">
      <c r="A606" s="17"/>
      <c r="B606" s="17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20"/>
      <c r="S606" s="21"/>
      <c r="T606" s="22"/>
    </row>
    <row r="607" spans="1:20" ht="13.2" x14ac:dyDescent="0.25">
      <c r="A607" s="17"/>
      <c r="B607" s="17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20"/>
      <c r="S607" s="21"/>
      <c r="T607" s="22"/>
    </row>
    <row r="608" spans="1:20" ht="13.2" x14ac:dyDescent="0.25">
      <c r="A608" s="17"/>
      <c r="B608" s="17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20"/>
      <c r="S608" s="21"/>
      <c r="T608" s="22"/>
    </row>
    <row r="609" spans="1:20" ht="13.2" x14ac:dyDescent="0.25">
      <c r="A609" s="17"/>
      <c r="B609" s="17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20"/>
      <c r="S609" s="21"/>
      <c r="T609" s="22"/>
    </row>
    <row r="610" spans="1:20" ht="13.2" x14ac:dyDescent="0.25">
      <c r="A610" s="17"/>
      <c r="B610" s="17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20"/>
      <c r="S610" s="21"/>
      <c r="T610" s="22"/>
    </row>
    <row r="611" spans="1:20" ht="13.2" x14ac:dyDescent="0.25">
      <c r="A611" s="17"/>
      <c r="B611" s="17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20"/>
      <c r="S611" s="21"/>
      <c r="T611" s="22"/>
    </row>
    <row r="612" spans="1:20" ht="13.2" x14ac:dyDescent="0.25">
      <c r="A612" s="17"/>
      <c r="B612" s="17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20"/>
      <c r="S612" s="21"/>
      <c r="T612" s="22"/>
    </row>
    <row r="613" spans="1:20" ht="13.2" x14ac:dyDescent="0.25">
      <c r="A613" s="17"/>
      <c r="B613" s="17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20"/>
      <c r="S613" s="21"/>
      <c r="T613" s="22"/>
    </row>
    <row r="614" spans="1:20" ht="13.2" x14ac:dyDescent="0.25">
      <c r="A614" s="17"/>
      <c r="B614" s="17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20"/>
      <c r="S614" s="21"/>
      <c r="T614" s="22"/>
    </row>
    <row r="615" spans="1:20" ht="13.2" x14ac:dyDescent="0.25">
      <c r="A615" s="17"/>
      <c r="B615" s="17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20"/>
      <c r="S615" s="21"/>
      <c r="T615" s="22"/>
    </row>
    <row r="616" spans="1:20" ht="13.2" x14ac:dyDescent="0.25">
      <c r="A616" s="17"/>
      <c r="B616" s="17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20"/>
      <c r="S616" s="21"/>
      <c r="T616" s="22"/>
    </row>
    <row r="617" spans="1:20" ht="13.2" x14ac:dyDescent="0.25">
      <c r="A617" s="17"/>
      <c r="B617" s="17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20"/>
      <c r="S617" s="21"/>
      <c r="T617" s="22"/>
    </row>
    <row r="618" spans="1:20" ht="13.2" x14ac:dyDescent="0.25">
      <c r="A618" s="17"/>
      <c r="B618" s="17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20"/>
      <c r="S618" s="21"/>
      <c r="T618" s="22"/>
    </row>
    <row r="619" spans="1:20" ht="13.2" x14ac:dyDescent="0.25">
      <c r="A619" s="17"/>
      <c r="B619" s="17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20"/>
      <c r="S619" s="21"/>
      <c r="T619" s="22"/>
    </row>
    <row r="620" spans="1:20" ht="13.2" x14ac:dyDescent="0.25">
      <c r="A620" s="17"/>
      <c r="B620" s="17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20"/>
      <c r="S620" s="21"/>
      <c r="T620" s="22"/>
    </row>
    <row r="621" spans="1:20" ht="13.2" x14ac:dyDescent="0.25">
      <c r="A621" s="17"/>
      <c r="B621" s="17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20"/>
      <c r="S621" s="21"/>
      <c r="T621" s="22"/>
    </row>
    <row r="622" spans="1:20" ht="13.2" x14ac:dyDescent="0.25">
      <c r="A622" s="17"/>
      <c r="B622" s="17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20"/>
      <c r="S622" s="21"/>
      <c r="T622" s="22"/>
    </row>
    <row r="623" spans="1:20" ht="13.2" x14ac:dyDescent="0.25">
      <c r="A623" s="17"/>
      <c r="B623" s="17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20"/>
      <c r="S623" s="21"/>
      <c r="T623" s="22"/>
    </row>
    <row r="624" spans="1:20" ht="13.2" x14ac:dyDescent="0.25">
      <c r="A624" s="17"/>
      <c r="B624" s="17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20"/>
      <c r="S624" s="21"/>
      <c r="T624" s="22"/>
    </row>
    <row r="625" spans="1:20" ht="13.2" x14ac:dyDescent="0.25">
      <c r="A625" s="17"/>
      <c r="B625" s="17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20"/>
      <c r="S625" s="21"/>
      <c r="T625" s="22"/>
    </row>
    <row r="626" spans="1:20" ht="13.2" x14ac:dyDescent="0.25">
      <c r="A626" s="17"/>
      <c r="B626" s="17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20"/>
      <c r="S626" s="21"/>
      <c r="T626" s="22"/>
    </row>
    <row r="627" spans="1:20" ht="13.2" x14ac:dyDescent="0.25">
      <c r="A627" s="17"/>
      <c r="B627" s="17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20"/>
      <c r="S627" s="21"/>
      <c r="T627" s="22"/>
    </row>
    <row r="628" spans="1:20" ht="13.2" x14ac:dyDescent="0.25">
      <c r="A628" s="17"/>
      <c r="B628" s="17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20"/>
      <c r="S628" s="21"/>
      <c r="T628" s="22"/>
    </row>
    <row r="629" spans="1:20" ht="13.2" x14ac:dyDescent="0.25">
      <c r="A629" s="17"/>
      <c r="B629" s="17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20"/>
      <c r="S629" s="21"/>
      <c r="T629" s="22"/>
    </row>
    <row r="630" spans="1:20" ht="13.2" x14ac:dyDescent="0.25">
      <c r="A630" s="17"/>
      <c r="B630" s="17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20"/>
      <c r="S630" s="21"/>
      <c r="T630" s="22"/>
    </row>
    <row r="631" spans="1:20" ht="13.2" x14ac:dyDescent="0.25">
      <c r="A631" s="17"/>
      <c r="B631" s="17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20"/>
      <c r="S631" s="21"/>
      <c r="T631" s="22"/>
    </row>
    <row r="632" spans="1:20" ht="13.2" x14ac:dyDescent="0.25">
      <c r="A632" s="17"/>
      <c r="B632" s="17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20"/>
      <c r="S632" s="21"/>
      <c r="T632" s="22"/>
    </row>
    <row r="633" spans="1:20" ht="13.2" x14ac:dyDescent="0.25">
      <c r="A633" s="17"/>
      <c r="B633" s="17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20"/>
      <c r="S633" s="21"/>
      <c r="T633" s="22"/>
    </row>
    <row r="634" spans="1:20" ht="13.2" x14ac:dyDescent="0.25">
      <c r="A634" s="17"/>
      <c r="B634" s="17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20"/>
      <c r="S634" s="21"/>
      <c r="T634" s="22"/>
    </row>
    <row r="635" spans="1:20" ht="13.2" x14ac:dyDescent="0.25">
      <c r="A635" s="17"/>
      <c r="B635" s="17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20"/>
      <c r="S635" s="21"/>
      <c r="T635" s="22"/>
    </row>
    <row r="636" spans="1:20" ht="13.2" x14ac:dyDescent="0.25">
      <c r="A636" s="17"/>
      <c r="B636" s="17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20"/>
      <c r="S636" s="21"/>
      <c r="T636" s="22"/>
    </row>
    <row r="637" spans="1:20" ht="13.2" x14ac:dyDescent="0.25">
      <c r="A637" s="17"/>
      <c r="B637" s="17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20"/>
      <c r="S637" s="21"/>
      <c r="T637" s="22"/>
    </row>
    <row r="638" spans="1:20" ht="13.2" x14ac:dyDescent="0.25">
      <c r="A638" s="17"/>
      <c r="B638" s="17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20"/>
      <c r="S638" s="21"/>
      <c r="T638" s="22"/>
    </row>
    <row r="639" spans="1:20" ht="13.2" x14ac:dyDescent="0.25">
      <c r="A639" s="17"/>
      <c r="B639" s="17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20"/>
      <c r="S639" s="21"/>
      <c r="T639" s="22"/>
    </row>
    <row r="640" spans="1:20" ht="13.2" x14ac:dyDescent="0.25">
      <c r="A640" s="17"/>
      <c r="B640" s="17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20"/>
      <c r="S640" s="21"/>
      <c r="T640" s="22"/>
    </row>
    <row r="641" spans="1:20" ht="13.2" x14ac:dyDescent="0.25">
      <c r="A641" s="17"/>
      <c r="B641" s="17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20"/>
      <c r="S641" s="21"/>
      <c r="T641" s="22"/>
    </row>
    <row r="642" spans="1:20" ht="13.2" x14ac:dyDescent="0.25">
      <c r="A642" s="17"/>
      <c r="B642" s="17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20"/>
      <c r="S642" s="21"/>
      <c r="T642" s="22"/>
    </row>
    <row r="643" spans="1:20" ht="13.2" x14ac:dyDescent="0.25">
      <c r="A643" s="17"/>
      <c r="B643" s="17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20"/>
      <c r="S643" s="21"/>
      <c r="T643" s="22"/>
    </row>
    <row r="644" spans="1:20" ht="13.2" x14ac:dyDescent="0.25">
      <c r="A644" s="17"/>
      <c r="B644" s="17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20"/>
      <c r="S644" s="21"/>
      <c r="T644" s="22"/>
    </row>
    <row r="645" spans="1:20" ht="13.2" x14ac:dyDescent="0.25">
      <c r="A645" s="17"/>
      <c r="B645" s="17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20"/>
      <c r="S645" s="21"/>
      <c r="T645" s="22"/>
    </row>
    <row r="646" spans="1:20" ht="13.2" x14ac:dyDescent="0.25">
      <c r="A646" s="17"/>
      <c r="B646" s="17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20"/>
      <c r="S646" s="21"/>
      <c r="T646" s="22"/>
    </row>
    <row r="647" spans="1:20" ht="13.2" x14ac:dyDescent="0.25">
      <c r="A647" s="17"/>
      <c r="B647" s="17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20"/>
      <c r="S647" s="21"/>
      <c r="T647" s="22"/>
    </row>
    <row r="648" spans="1:20" ht="13.2" x14ac:dyDescent="0.25">
      <c r="A648" s="17"/>
      <c r="B648" s="17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20"/>
      <c r="S648" s="21"/>
      <c r="T648" s="22"/>
    </row>
    <row r="649" spans="1:20" ht="13.2" x14ac:dyDescent="0.25">
      <c r="A649" s="17"/>
      <c r="B649" s="17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20"/>
      <c r="S649" s="21"/>
      <c r="T649" s="22"/>
    </row>
    <row r="650" spans="1:20" ht="13.2" x14ac:dyDescent="0.25">
      <c r="A650" s="17"/>
      <c r="B650" s="17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20"/>
      <c r="S650" s="21"/>
      <c r="T650" s="22"/>
    </row>
    <row r="651" spans="1:20" ht="13.2" x14ac:dyDescent="0.25">
      <c r="A651" s="17"/>
      <c r="B651" s="17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20"/>
      <c r="S651" s="21"/>
      <c r="T651" s="22"/>
    </row>
    <row r="652" spans="1:20" ht="13.2" x14ac:dyDescent="0.25">
      <c r="A652" s="17"/>
      <c r="B652" s="17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20"/>
      <c r="S652" s="21"/>
      <c r="T652" s="22"/>
    </row>
    <row r="653" spans="1:20" ht="13.2" x14ac:dyDescent="0.25">
      <c r="A653" s="17"/>
      <c r="B653" s="17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20"/>
      <c r="S653" s="21"/>
      <c r="T653" s="22"/>
    </row>
    <row r="654" spans="1:20" ht="13.2" x14ac:dyDescent="0.25">
      <c r="A654" s="17"/>
      <c r="B654" s="17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20"/>
      <c r="S654" s="21"/>
      <c r="T654" s="22"/>
    </row>
    <row r="655" spans="1:20" ht="13.2" x14ac:dyDescent="0.25">
      <c r="A655" s="17"/>
      <c r="B655" s="17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20"/>
      <c r="S655" s="21"/>
      <c r="T655" s="22"/>
    </row>
    <row r="656" spans="1:20" ht="13.2" x14ac:dyDescent="0.25">
      <c r="A656" s="17"/>
      <c r="B656" s="17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20"/>
      <c r="S656" s="21"/>
      <c r="T656" s="22"/>
    </row>
    <row r="657" spans="1:20" ht="13.2" x14ac:dyDescent="0.25">
      <c r="A657" s="17"/>
      <c r="B657" s="17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20"/>
      <c r="S657" s="21"/>
      <c r="T657" s="22"/>
    </row>
    <row r="658" spans="1:20" ht="13.2" x14ac:dyDescent="0.25">
      <c r="A658" s="17"/>
      <c r="B658" s="17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20"/>
      <c r="S658" s="21"/>
      <c r="T658" s="22"/>
    </row>
    <row r="659" spans="1:20" ht="13.2" x14ac:dyDescent="0.25">
      <c r="A659" s="17"/>
      <c r="B659" s="17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20"/>
      <c r="S659" s="21"/>
      <c r="T659" s="22"/>
    </row>
    <row r="660" spans="1:20" ht="13.2" x14ac:dyDescent="0.25">
      <c r="A660" s="17"/>
      <c r="B660" s="17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20"/>
      <c r="S660" s="21"/>
      <c r="T660" s="22"/>
    </row>
    <row r="661" spans="1:20" ht="13.2" x14ac:dyDescent="0.25">
      <c r="A661" s="17"/>
      <c r="B661" s="17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20"/>
      <c r="S661" s="21"/>
      <c r="T661" s="22"/>
    </row>
    <row r="662" spans="1:20" ht="13.2" x14ac:dyDescent="0.25">
      <c r="A662" s="17"/>
      <c r="B662" s="17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20"/>
      <c r="S662" s="21"/>
      <c r="T662" s="22"/>
    </row>
    <row r="663" spans="1:20" ht="13.2" x14ac:dyDescent="0.25">
      <c r="A663" s="17"/>
      <c r="B663" s="17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20"/>
      <c r="S663" s="21"/>
      <c r="T663" s="22"/>
    </row>
    <row r="664" spans="1:20" ht="13.2" x14ac:dyDescent="0.25">
      <c r="A664" s="17"/>
      <c r="B664" s="17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20"/>
      <c r="S664" s="21"/>
      <c r="T664" s="22"/>
    </row>
    <row r="665" spans="1:20" ht="13.2" x14ac:dyDescent="0.25">
      <c r="A665" s="17"/>
      <c r="B665" s="17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20"/>
      <c r="S665" s="21"/>
      <c r="T665" s="22"/>
    </row>
    <row r="666" spans="1:20" ht="13.2" x14ac:dyDescent="0.25">
      <c r="A666" s="17"/>
      <c r="B666" s="17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20"/>
      <c r="S666" s="21"/>
      <c r="T666" s="22"/>
    </row>
    <row r="667" spans="1:20" ht="13.2" x14ac:dyDescent="0.25">
      <c r="A667" s="17"/>
      <c r="B667" s="17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20"/>
      <c r="S667" s="21"/>
      <c r="T667" s="22"/>
    </row>
    <row r="668" spans="1:20" ht="13.2" x14ac:dyDescent="0.25">
      <c r="A668" s="17"/>
      <c r="B668" s="17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20"/>
      <c r="S668" s="21"/>
      <c r="T668" s="22"/>
    </row>
    <row r="669" spans="1:20" ht="13.2" x14ac:dyDescent="0.25">
      <c r="A669" s="17"/>
      <c r="B669" s="17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20"/>
      <c r="S669" s="21"/>
      <c r="T669" s="22"/>
    </row>
    <row r="670" spans="1:20" ht="13.2" x14ac:dyDescent="0.25">
      <c r="A670" s="17"/>
      <c r="B670" s="17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20"/>
      <c r="S670" s="21"/>
      <c r="T670" s="22"/>
    </row>
    <row r="671" spans="1:20" ht="13.2" x14ac:dyDescent="0.25">
      <c r="A671" s="17"/>
      <c r="B671" s="17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20"/>
      <c r="S671" s="21"/>
      <c r="T671" s="22"/>
    </row>
    <row r="672" spans="1:20" ht="13.2" x14ac:dyDescent="0.25">
      <c r="A672" s="17"/>
      <c r="B672" s="17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20"/>
      <c r="S672" s="21"/>
      <c r="T672" s="22"/>
    </row>
    <row r="673" spans="1:20" ht="13.2" x14ac:dyDescent="0.25">
      <c r="A673" s="17"/>
      <c r="B673" s="17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20"/>
      <c r="S673" s="21"/>
      <c r="T673" s="22"/>
    </row>
    <row r="674" spans="1:20" ht="13.2" x14ac:dyDescent="0.25">
      <c r="A674" s="17"/>
      <c r="B674" s="17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20"/>
      <c r="S674" s="21"/>
      <c r="T674" s="22"/>
    </row>
    <row r="675" spans="1:20" ht="13.2" x14ac:dyDescent="0.25">
      <c r="A675" s="17"/>
      <c r="B675" s="17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20"/>
      <c r="S675" s="21"/>
      <c r="T675" s="22"/>
    </row>
    <row r="676" spans="1:20" ht="13.2" x14ac:dyDescent="0.25">
      <c r="A676" s="17"/>
      <c r="B676" s="17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20"/>
      <c r="S676" s="21"/>
      <c r="T676" s="22"/>
    </row>
    <row r="677" spans="1:20" ht="13.2" x14ac:dyDescent="0.25">
      <c r="A677" s="17"/>
      <c r="B677" s="17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20"/>
      <c r="S677" s="21"/>
      <c r="T677" s="22"/>
    </row>
    <row r="678" spans="1:20" ht="13.2" x14ac:dyDescent="0.25">
      <c r="A678" s="17"/>
      <c r="B678" s="17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20"/>
      <c r="S678" s="21"/>
      <c r="T678" s="22"/>
    </row>
    <row r="679" spans="1:20" ht="13.2" x14ac:dyDescent="0.25">
      <c r="A679" s="17"/>
      <c r="B679" s="17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20"/>
      <c r="S679" s="21"/>
      <c r="T679" s="22"/>
    </row>
    <row r="680" spans="1:20" ht="13.2" x14ac:dyDescent="0.25">
      <c r="A680" s="17"/>
      <c r="B680" s="17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20"/>
      <c r="S680" s="21"/>
      <c r="T680" s="22"/>
    </row>
    <row r="681" spans="1:20" ht="13.2" x14ac:dyDescent="0.25">
      <c r="A681" s="17"/>
      <c r="B681" s="17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20"/>
      <c r="S681" s="21"/>
      <c r="T681" s="22"/>
    </row>
    <row r="682" spans="1:20" ht="13.2" x14ac:dyDescent="0.25">
      <c r="A682" s="17"/>
      <c r="B682" s="17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20"/>
      <c r="S682" s="21"/>
      <c r="T682" s="22"/>
    </row>
    <row r="683" spans="1:20" ht="13.2" x14ac:dyDescent="0.25">
      <c r="A683" s="17"/>
      <c r="B683" s="17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20"/>
      <c r="S683" s="21"/>
      <c r="T683" s="22"/>
    </row>
    <row r="684" spans="1:20" ht="13.2" x14ac:dyDescent="0.25">
      <c r="A684" s="17"/>
      <c r="B684" s="17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20"/>
      <c r="S684" s="21"/>
      <c r="T684" s="22"/>
    </row>
    <row r="685" spans="1:20" ht="13.2" x14ac:dyDescent="0.25">
      <c r="A685" s="17"/>
      <c r="B685" s="17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20"/>
      <c r="S685" s="21"/>
      <c r="T685" s="22"/>
    </row>
    <row r="686" spans="1:20" ht="13.2" x14ac:dyDescent="0.25">
      <c r="A686" s="17"/>
      <c r="B686" s="17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20"/>
      <c r="S686" s="21"/>
      <c r="T686" s="22"/>
    </row>
    <row r="687" spans="1:20" ht="13.2" x14ac:dyDescent="0.25">
      <c r="A687" s="17"/>
      <c r="B687" s="17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20"/>
      <c r="S687" s="21"/>
      <c r="T687" s="22"/>
    </row>
    <row r="688" spans="1:20" ht="13.2" x14ac:dyDescent="0.25">
      <c r="A688" s="17"/>
      <c r="B688" s="17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20"/>
      <c r="S688" s="21"/>
      <c r="T688" s="22"/>
    </row>
    <row r="689" spans="1:20" ht="13.2" x14ac:dyDescent="0.25">
      <c r="A689" s="17"/>
      <c r="B689" s="17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20"/>
      <c r="S689" s="21"/>
      <c r="T689" s="22"/>
    </row>
    <row r="690" spans="1:20" ht="13.2" x14ac:dyDescent="0.25">
      <c r="A690" s="17"/>
      <c r="B690" s="17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20"/>
      <c r="S690" s="21"/>
      <c r="T690" s="22"/>
    </row>
    <row r="691" spans="1:20" ht="13.2" x14ac:dyDescent="0.25">
      <c r="A691" s="17"/>
      <c r="B691" s="17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20"/>
      <c r="S691" s="21"/>
      <c r="T691" s="22"/>
    </row>
    <row r="692" spans="1:20" ht="13.2" x14ac:dyDescent="0.25">
      <c r="A692" s="17"/>
      <c r="B692" s="17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20"/>
      <c r="S692" s="21"/>
      <c r="T692" s="22"/>
    </row>
    <row r="693" spans="1:20" ht="13.2" x14ac:dyDescent="0.25">
      <c r="A693" s="17"/>
      <c r="B693" s="17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20"/>
      <c r="S693" s="21"/>
      <c r="T693" s="22"/>
    </row>
    <row r="694" spans="1:20" ht="13.2" x14ac:dyDescent="0.25">
      <c r="A694" s="17"/>
      <c r="B694" s="17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20"/>
      <c r="S694" s="21"/>
      <c r="T694" s="22"/>
    </row>
    <row r="695" spans="1:20" ht="13.2" x14ac:dyDescent="0.25">
      <c r="A695" s="17"/>
      <c r="B695" s="17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20"/>
      <c r="S695" s="21"/>
      <c r="T695" s="22"/>
    </row>
    <row r="696" spans="1:20" ht="13.2" x14ac:dyDescent="0.25">
      <c r="A696" s="17"/>
      <c r="B696" s="17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20"/>
      <c r="S696" s="21"/>
      <c r="T696" s="22"/>
    </row>
    <row r="697" spans="1:20" ht="13.2" x14ac:dyDescent="0.25">
      <c r="A697" s="17"/>
      <c r="B697" s="17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20"/>
      <c r="S697" s="21"/>
      <c r="T697" s="22"/>
    </row>
    <row r="698" spans="1:20" ht="13.2" x14ac:dyDescent="0.25">
      <c r="A698" s="17"/>
      <c r="B698" s="17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20"/>
      <c r="S698" s="21"/>
      <c r="T698" s="22"/>
    </row>
    <row r="699" spans="1:20" ht="13.2" x14ac:dyDescent="0.25">
      <c r="A699" s="17"/>
      <c r="B699" s="17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20"/>
      <c r="S699" s="21"/>
      <c r="T699" s="22"/>
    </row>
    <row r="700" spans="1:20" ht="13.2" x14ac:dyDescent="0.25">
      <c r="A700" s="17"/>
      <c r="B700" s="17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20"/>
      <c r="S700" s="21"/>
      <c r="T700" s="22"/>
    </row>
    <row r="701" spans="1:20" ht="13.2" x14ac:dyDescent="0.25">
      <c r="A701" s="17"/>
      <c r="B701" s="17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20"/>
      <c r="S701" s="21"/>
      <c r="T701" s="22"/>
    </row>
    <row r="702" spans="1:20" ht="13.2" x14ac:dyDescent="0.25">
      <c r="A702" s="17"/>
      <c r="B702" s="17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20"/>
      <c r="S702" s="21"/>
      <c r="T702" s="22"/>
    </row>
    <row r="703" spans="1:20" ht="13.2" x14ac:dyDescent="0.25">
      <c r="A703" s="17"/>
      <c r="B703" s="17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20"/>
      <c r="S703" s="21"/>
      <c r="T703" s="22"/>
    </row>
    <row r="704" spans="1:20" ht="13.2" x14ac:dyDescent="0.25">
      <c r="A704" s="17"/>
      <c r="B704" s="17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20"/>
      <c r="S704" s="21"/>
      <c r="T704" s="22"/>
    </row>
    <row r="705" spans="1:20" ht="13.2" x14ac:dyDescent="0.25">
      <c r="A705" s="17"/>
      <c r="B705" s="17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20"/>
      <c r="S705" s="21"/>
      <c r="T705" s="22"/>
    </row>
    <row r="706" spans="1:20" ht="13.2" x14ac:dyDescent="0.25">
      <c r="A706" s="17"/>
      <c r="B706" s="17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20"/>
      <c r="S706" s="21"/>
      <c r="T706" s="22"/>
    </row>
    <row r="707" spans="1:20" ht="13.2" x14ac:dyDescent="0.25">
      <c r="A707" s="17"/>
      <c r="B707" s="17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20"/>
      <c r="S707" s="21"/>
      <c r="T707" s="22"/>
    </row>
    <row r="708" spans="1:20" ht="13.2" x14ac:dyDescent="0.25">
      <c r="A708" s="17"/>
      <c r="B708" s="17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20"/>
      <c r="S708" s="21"/>
      <c r="T708" s="22"/>
    </row>
    <row r="709" spans="1:20" ht="13.2" x14ac:dyDescent="0.25">
      <c r="A709" s="17"/>
      <c r="B709" s="17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20"/>
      <c r="S709" s="21"/>
      <c r="T709" s="22"/>
    </row>
    <row r="710" spans="1:20" ht="13.2" x14ac:dyDescent="0.25">
      <c r="A710" s="17"/>
      <c r="B710" s="17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20"/>
      <c r="S710" s="21"/>
      <c r="T710" s="22"/>
    </row>
    <row r="711" spans="1:20" ht="13.2" x14ac:dyDescent="0.25">
      <c r="A711" s="17"/>
      <c r="B711" s="17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20"/>
      <c r="S711" s="21"/>
      <c r="T711" s="22"/>
    </row>
    <row r="712" spans="1:20" ht="13.2" x14ac:dyDescent="0.25">
      <c r="A712" s="17"/>
      <c r="B712" s="17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20"/>
      <c r="S712" s="21"/>
      <c r="T712" s="22"/>
    </row>
    <row r="713" spans="1:20" ht="13.2" x14ac:dyDescent="0.25">
      <c r="A713" s="17"/>
      <c r="B713" s="17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20"/>
      <c r="S713" s="21"/>
      <c r="T713" s="22"/>
    </row>
    <row r="714" spans="1:20" ht="13.2" x14ac:dyDescent="0.25">
      <c r="A714" s="17"/>
      <c r="B714" s="17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20"/>
      <c r="S714" s="21"/>
      <c r="T714" s="22"/>
    </row>
    <row r="715" spans="1:20" ht="13.2" x14ac:dyDescent="0.25">
      <c r="A715" s="17"/>
      <c r="B715" s="17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20"/>
      <c r="S715" s="21"/>
      <c r="T715" s="22"/>
    </row>
    <row r="716" spans="1:20" ht="13.2" x14ac:dyDescent="0.25">
      <c r="A716" s="17"/>
      <c r="B716" s="17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20"/>
      <c r="S716" s="21"/>
      <c r="T716" s="22"/>
    </row>
    <row r="717" spans="1:20" ht="13.2" x14ac:dyDescent="0.25">
      <c r="A717" s="17"/>
      <c r="B717" s="17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20"/>
      <c r="S717" s="21"/>
      <c r="T717" s="22"/>
    </row>
    <row r="718" spans="1:20" ht="13.2" x14ac:dyDescent="0.25">
      <c r="A718" s="17"/>
      <c r="B718" s="17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20"/>
      <c r="S718" s="21"/>
      <c r="T718" s="22"/>
    </row>
    <row r="719" spans="1:20" ht="13.2" x14ac:dyDescent="0.25">
      <c r="A719" s="17"/>
      <c r="B719" s="17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20"/>
      <c r="S719" s="21"/>
      <c r="T719" s="22"/>
    </row>
    <row r="720" spans="1:20" ht="13.2" x14ac:dyDescent="0.25">
      <c r="A720" s="17"/>
      <c r="B720" s="17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20"/>
      <c r="S720" s="21"/>
      <c r="T720" s="22"/>
    </row>
    <row r="721" spans="1:20" ht="13.2" x14ac:dyDescent="0.25">
      <c r="A721" s="17"/>
      <c r="B721" s="17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20"/>
      <c r="S721" s="21"/>
      <c r="T721" s="22"/>
    </row>
    <row r="722" spans="1:20" ht="13.2" x14ac:dyDescent="0.25">
      <c r="A722" s="17"/>
      <c r="B722" s="17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20"/>
      <c r="S722" s="21"/>
      <c r="T722" s="22"/>
    </row>
    <row r="723" spans="1:20" ht="13.2" x14ac:dyDescent="0.25">
      <c r="A723" s="17"/>
      <c r="B723" s="17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20"/>
      <c r="S723" s="21"/>
      <c r="T723" s="22"/>
    </row>
    <row r="724" spans="1:20" ht="13.2" x14ac:dyDescent="0.25">
      <c r="A724" s="17"/>
      <c r="B724" s="17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20"/>
      <c r="S724" s="21"/>
      <c r="T724" s="22"/>
    </row>
    <row r="725" spans="1:20" ht="13.2" x14ac:dyDescent="0.25">
      <c r="A725" s="17"/>
      <c r="B725" s="17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20"/>
      <c r="S725" s="21"/>
      <c r="T725" s="22"/>
    </row>
    <row r="726" spans="1:20" ht="13.2" x14ac:dyDescent="0.25">
      <c r="A726" s="17"/>
      <c r="B726" s="17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20"/>
      <c r="S726" s="21"/>
      <c r="T726" s="22"/>
    </row>
    <row r="727" spans="1:20" ht="13.2" x14ac:dyDescent="0.25">
      <c r="A727" s="17"/>
      <c r="B727" s="17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20"/>
      <c r="S727" s="21"/>
      <c r="T727" s="22"/>
    </row>
    <row r="728" spans="1:20" ht="13.2" x14ac:dyDescent="0.25">
      <c r="A728" s="17"/>
      <c r="B728" s="17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20"/>
      <c r="S728" s="21"/>
      <c r="T728" s="22"/>
    </row>
    <row r="729" spans="1:20" ht="13.2" x14ac:dyDescent="0.25">
      <c r="A729" s="17"/>
      <c r="B729" s="17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20"/>
      <c r="S729" s="21"/>
      <c r="T729" s="22"/>
    </row>
    <row r="730" spans="1:20" ht="13.2" x14ac:dyDescent="0.25">
      <c r="A730" s="17"/>
      <c r="B730" s="17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20"/>
      <c r="S730" s="21"/>
      <c r="T730" s="22"/>
    </row>
    <row r="731" spans="1:20" ht="13.2" x14ac:dyDescent="0.25">
      <c r="A731" s="17"/>
      <c r="B731" s="17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20"/>
      <c r="S731" s="21"/>
      <c r="T731" s="22"/>
    </row>
    <row r="732" spans="1:20" ht="13.2" x14ac:dyDescent="0.25">
      <c r="A732" s="17"/>
      <c r="B732" s="17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20"/>
      <c r="S732" s="21"/>
      <c r="T732" s="22"/>
    </row>
    <row r="733" spans="1:20" ht="13.2" x14ac:dyDescent="0.25">
      <c r="A733" s="17"/>
      <c r="B733" s="17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20"/>
      <c r="S733" s="21"/>
      <c r="T733" s="22"/>
    </row>
    <row r="734" spans="1:20" ht="13.2" x14ac:dyDescent="0.25">
      <c r="A734" s="17"/>
      <c r="B734" s="17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20"/>
      <c r="S734" s="21"/>
      <c r="T734" s="22"/>
    </row>
    <row r="735" spans="1:20" ht="13.2" x14ac:dyDescent="0.25">
      <c r="A735" s="17"/>
      <c r="B735" s="17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20"/>
      <c r="S735" s="21"/>
      <c r="T735" s="22"/>
    </row>
    <row r="736" spans="1:20" ht="13.2" x14ac:dyDescent="0.25">
      <c r="A736" s="17"/>
      <c r="B736" s="17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20"/>
      <c r="S736" s="21"/>
      <c r="T736" s="22"/>
    </row>
    <row r="737" spans="1:20" ht="13.2" x14ac:dyDescent="0.25">
      <c r="A737" s="17"/>
      <c r="B737" s="17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20"/>
      <c r="S737" s="21"/>
      <c r="T737" s="22"/>
    </row>
    <row r="738" spans="1:20" ht="13.2" x14ac:dyDescent="0.25">
      <c r="A738" s="17"/>
      <c r="B738" s="17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20"/>
      <c r="S738" s="21"/>
      <c r="T738" s="22"/>
    </row>
    <row r="739" spans="1:20" ht="13.2" x14ac:dyDescent="0.25">
      <c r="A739" s="17"/>
      <c r="B739" s="17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20"/>
      <c r="S739" s="21"/>
      <c r="T739" s="22"/>
    </row>
    <row r="740" spans="1:20" ht="13.2" x14ac:dyDescent="0.25">
      <c r="A740" s="17"/>
      <c r="B740" s="17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20"/>
      <c r="S740" s="21"/>
      <c r="T740" s="22"/>
    </row>
    <row r="741" spans="1:20" ht="13.2" x14ac:dyDescent="0.25">
      <c r="A741" s="17"/>
      <c r="B741" s="17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20"/>
      <c r="S741" s="21"/>
      <c r="T741" s="22"/>
    </row>
    <row r="742" spans="1:20" ht="13.2" x14ac:dyDescent="0.25">
      <c r="A742" s="17"/>
      <c r="B742" s="17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20"/>
      <c r="S742" s="21"/>
      <c r="T742" s="22"/>
    </row>
    <row r="743" spans="1:20" ht="13.2" x14ac:dyDescent="0.25">
      <c r="A743" s="17"/>
      <c r="B743" s="17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9"/>
      <c r="R743" s="20"/>
      <c r="S743" s="21"/>
      <c r="T743" s="22"/>
    </row>
    <row r="744" spans="1:20" ht="13.2" x14ac:dyDescent="0.25">
      <c r="A744" s="17"/>
      <c r="B744" s="17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9"/>
      <c r="R744" s="20"/>
      <c r="S744" s="21"/>
      <c r="T744" s="22"/>
    </row>
    <row r="745" spans="1:20" ht="13.2" x14ac:dyDescent="0.25">
      <c r="A745" s="17"/>
      <c r="B745" s="17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9"/>
      <c r="R745" s="20"/>
      <c r="S745" s="21"/>
      <c r="T745" s="22"/>
    </row>
    <row r="746" spans="1:20" ht="13.2" x14ac:dyDescent="0.25">
      <c r="A746" s="17"/>
      <c r="B746" s="17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9"/>
      <c r="R746" s="20"/>
      <c r="S746" s="21"/>
      <c r="T746" s="22"/>
    </row>
    <row r="747" spans="1:20" ht="13.2" x14ac:dyDescent="0.25">
      <c r="A747" s="17"/>
      <c r="B747" s="17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20"/>
      <c r="S747" s="21"/>
      <c r="T747" s="22"/>
    </row>
    <row r="748" spans="1:20" ht="13.2" x14ac:dyDescent="0.25">
      <c r="A748" s="17"/>
      <c r="B748" s="17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9"/>
      <c r="R748" s="20"/>
      <c r="S748" s="21"/>
      <c r="T748" s="22"/>
    </row>
    <row r="749" spans="1:20" ht="13.2" x14ac:dyDescent="0.25">
      <c r="A749" s="17"/>
      <c r="B749" s="17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20"/>
      <c r="S749" s="21"/>
      <c r="T749" s="22"/>
    </row>
    <row r="750" spans="1:20" ht="13.2" x14ac:dyDescent="0.25">
      <c r="A750" s="17"/>
      <c r="B750" s="17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9"/>
      <c r="R750" s="20"/>
      <c r="S750" s="21"/>
      <c r="T750" s="22"/>
    </row>
    <row r="751" spans="1:20" ht="13.2" x14ac:dyDescent="0.25">
      <c r="A751" s="17"/>
      <c r="B751" s="17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9"/>
      <c r="R751" s="20"/>
      <c r="S751" s="21"/>
      <c r="T751" s="22"/>
    </row>
    <row r="752" spans="1:20" ht="13.2" x14ac:dyDescent="0.25">
      <c r="A752" s="17"/>
      <c r="B752" s="17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9"/>
      <c r="R752" s="20"/>
      <c r="S752" s="21"/>
      <c r="T752" s="22"/>
    </row>
    <row r="753" spans="1:20" ht="13.2" x14ac:dyDescent="0.25">
      <c r="A753" s="17"/>
      <c r="B753" s="17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9"/>
      <c r="R753" s="20"/>
      <c r="S753" s="21"/>
      <c r="T753" s="22"/>
    </row>
    <row r="754" spans="1:20" ht="13.2" x14ac:dyDescent="0.25">
      <c r="A754" s="17"/>
      <c r="B754" s="17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20"/>
      <c r="S754" s="21"/>
      <c r="T754" s="22"/>
    </row>
    <row r="755" spans="1:20" ht="13.2" x14ac:dyDescent="0.25">
      <c r="A755" s="17"/>
      <c r="B755" s="17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9"/>
      <c r="R755" s="20"/>
      <c r="S755" s="21"/>
      <c r="T755" s="22"/>
    </row>
    <row r="756" spans="1:20" ht="13.2" x14ac:dyDescent="0.25">
      <c r="A756" s="17"/>
      <c r="B756" s="17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20"/>
      <c r="S756" s="21"/>
      <c r="T756" s="22"/>
    </row>
    <row r="757" spans="1:20" ht="13.2" x14ac:dyDescent="0.25">
      <c r="A757" s="17"/>
      <c r="B757" s="17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9"/>
      <c r="R757" s="20"/>
      <c r="S757" s="21"/>
      <c r="T757" s="22"/>
    </row>
    <row r="758" spans="1:20" ht="13.2" x14ac:dyDescent="0.25">
      <c r="A758" s="17"/>
      <c r="B758" s="17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20"/>
      <c r="S758" s="21"/>
      <c r="T758" s="22"/>
    </row>
    <row r="759" spans="1:20" ht="13.2" x14ac:dyDescent="0.25">
      <c r="A759" s="17"/>
      <c r="B759" s="17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9"/>
      <c r="R759" s="20"/>
      <c r="S759" s="21"/>
      <c r="T759" s="22"/>
    </row>
    <row r="760" spans="1:20" ht="13.2" x14ac:dyDescent="0.25">
      <c r="A760" s="17"/>
      <c r="B760" s="17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9"/>
      <c r="R760" s="20"/>
      <c r="S760" s="21"/>
      <c r="T760" s="22"/>
    </row>
    <row r="761" spans="1:20" ht="13.2" x14ac:dyDescent="0.25">
      <c r="A761" s="17"/>
      <c r="B761" s="17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9"/>
      <c r="R761" s="20"/>
      <c r="S761" s="21"/>
      <c r="T761" s="22"/>
    </row>
    <row r="762" spans="1:20" ht="13.2" x14ac:dyDescent="0.25">
      <c r="A762" s="17"/>
      <c r="B762" s="17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9"/>
      <c r="R762" s="20"/>
      <c r="S762" s="21"/>
      <c r="T762" s="22"/>
    </row>
    <row r="763" spans="1:20" ht="13.2" x14ac:dyDescent="0.25">
      <c r="A763" s="17"/>
      <c r="B763" s="17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9"/>
      <c r="R763" s="20"/>
      <c r="S763" s="21"/>
      <c r="T763" s="22"/>
    </row>
    <row r="764" spans="1:20" ht="13.2" x14ac:dyDescent="0.25">
      <c r="A764" s="17"/>
      <c r="B764" s="17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9"/>
      <c r="R764" s="20"/>
      <c r="S764" s="21"/>
      <c r="T764" s="22"/>
    </row>
    <row r="765" spans="1:20" ht="13.2" x14ac:dyDescent="0.25">
      <c r="A765" s="17"/>
      <c r="B765" s="17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9"/>
      <c r="R765" s="20"/>
      <c r="S765" s="21"/>
      <c r="T765" s="22"/>
    </row>
    <row r="766" spans="1:20" ht="13.2" x14ac:dyDescent="0.25">
      <c r="A766" s="17"/>
      <c r="B766" s="17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9"/>
      <c r="R766" s="20"/>
      <c r="S766" s="21"/>
      <c r="T766" s="22"/>
    </row>
    <row r="767" spans="1:20" ht="13.2" x14ac:dyDescent="0.25">
      <c r="A767" s="17"/>
      <c r="B767" s="17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9"/>
      <c r="R767" s="20"/>
      <c r="S767" s="21"/>
      <c r="T767" s="22"/>
    </row>
    <row r="768" spans="1:20" ht="13.2" x14ac:dyDescent="0.25">
      <c r="A768" s="17"/>
      <c r="B768" s="17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20"/>
      <c r="S768" s="21"/>
      <c r="T768" s="22"/>
    </row>
    <row r="769" spans="1:20" ht="13.2" x14ac:dyDescent="0.25">
      <c r="A769" s="17"/>
      <c r="B769" s="17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9"/>
      <c r="R769" s="20"/>
      <c r="S769" s="21"/>
      <c r="T769" s="22"/>
    </row>
    <row r="770" spans="1:20" ht="13.2" x14ac:dyDescent="0.25">
      <c r="A770" s="17"/>
      <c r="B770" s="17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9"/>
      <c r="R770" s="20"/>
      <c r="S770" s="21"/>
      <c r="T770" s="22"/>
    </row>
    <row r="771" spans="1:20" ht="13.2" x14ac:dyDescent="0.25">
      <c r="A771" s="17"/>
      <c r="B771" s="17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9"/>
      <c r="R771" s="20"/>
      <c r="S771" s="21"/>
      <c r="T771" s="22"/>
    </row>
    <row r="772" spans="1:20" ht="13.2" x14ac:dyDescent="0.25">
      <c r="A772" s="17"/>
      <c r="B772" s="17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9"/>
      <c r="R772" s="20"/>
      <c r="S772" s="21"/>
      <c r="T772" s="22"/>
    </row>
    <row r="773" spans="1:20" ht="13.2" x14ac:dyDescent="0.25">
      <c r="A773" s="17"/>
      <c r="B773" s="17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20"/>
      <c r="S773" s="21"/>
      <c r="T773" s="22"/>
    </row>
    <row r="774" spans="1:20" ht="13.2" x14ac:dyDescent="0.25">
      <c r="A774" s="17"/>
      <c r="B774" s="17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9"/>
      <c r="R774" s="20"/>
      <c r="S774" s="21"/>
      <c r="T774" s="22"/>
    </row>
    <row r="775" spans="1:20" ht="13.2" x14ac:dyDescent="0.25">
      <c r="A775" s="17"/>
      <c r="B775" s="17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9"/>
      <c r="R775" s="20"/>
      <c r="S775" s="21"/>
      <c r="T775" s="22"/>
    </row>
    <row r="776" spans="1:20" ht="13.2" x14ac:dyDescent="0.25">
      <c r="A776" s="17"/>
      <c r="B776" s="17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9"/>
      <c r="R776" s="20"/>
      <c r="S776" s="21"/>
      <c r="T776" s="22"/>
    </row>
    <row r="777" spans="1:20" ht="13.2" x14ac:dyDescent="0.25">
      <c r="A777" s="17"/>
      <c r="B777" s="17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20"/>
      <c r="S777" s="21"/>
      <c r="T777" s="22"/>
    </row>
    <row r="778" spans="1:20" ht="13.2" x14ac:dyDescent="0.25">
      <c r="A778" s="17"/>
      <c r="B778" s="17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9"/>
      <c r="R778" s="20"/>
      <c r="S778" s="21"/>
      <c r="T778" s="22"/>
    </row>
    <row r="779" spans="1:20" ht="13.2" x14ac:dyDescent="0.25">
      <c r="A779" s="17"/>
      <c r="B779" s="17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9"/>
      <c r="R779" s="20"/>
      <c r="S779" s="21"/>
      <c r="T779" s="22"/>
    </row>
    <row r="780" spans="1:20" ht="13.2" x14ac:dyDescent="0.25">
      <c r="A780" s="17"/>
      <c r="B780" s="17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9"/>
      <c r="R780" s="20"/>
      <c r="S780" s="21"/>
      <c r="T780" s="22"/>
    </row>
    <row r="781" spans="1:20" ht="13.2" x14ac:dyDescent="0.25">
      <c r="A781" s="17"/>
      <c r="B781" s="17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9"/>
      <c r="R781" s="20"/>
      <c r="S781" s="21"/>
      <c r="T781" s="22"/>
    </row>
    <row r="782" spans="1:20" ht="13.2" x14ac:dyDescent="0.25">
      <c r="A782" s="17"/>
      <c r="B782" s="17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20"/>
      <c r="S782" s="21"/>
      <c r="T782" s="22"/>
    </row>
    <row r="783" spans="1:20" ht="13.2" x14ac:dyDescent="0.25">
      <c r="A783" s="17"/>
      <c r="B783" s="17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20"/>
      <c r="S783" s="21"/>
      <c r="T783" s="22"/>
    </row>
    <row r="784" spans="1:20" ht="13.2" x14ac:dyDescent="0.25">
      <c r="A784" s="17"/>
      <c r="B784" s="17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9"/>
      <c r="R784" s="20"/>
      <c r="S784" s="21"/>
      <c r="T784" s="22"/>
    </row>
    <row r="785" spans="1:20" ht="13.2" x14ac:dyDescent="0.25">
      <c r="A785" s="17"/>
      <c r="B785" s="17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9"/>
      <c r="R785" s="20"/>
      <c r="S785" s="21"/>
      <c r="T785" s="22"/>
    </row>
    <row r="786" spans="1:20" ht="13.2" x14ac:dyDescent="0.25">
      <c r="A786" s="17"/>
      <c r="B786" s="17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9"/>
      <c r="R786" s="20"/>
      <c r="S786" s="21"/>
      <c r="T786" s="22"/>
    </row>
    <row r="787" spans="1:20" ht="13.2" x14ac:dyDescent="0.25">
      <c r="A787" s="17"/>
      <c r="B787" s="17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9"/>
      <c r="R787" s="20"/>
      <c r="S787" s="21"/>
      <c r="T787" s="22"/>
    </row>
    <row r="788" spans="1:20" ht="13.2" x14ac:dyDescent="0.25">
      <c r="A788" s="17"/>
      <c r="B788" s="17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9"/>
      <c r="R788" s="20"/>
      <c r="S788" s="21"/>
      <c r="T788" s="22"/>
    </row>
    <row r="789" spans="1:20" ht="13.2" x14ac:dyDescent="0.25">
      <c r="A789" s="17"/>
      <c r="B789" s="17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9"/>
      <c r="R789" s="20"/>
      <c r="S789" s="21"/>
      <c r="T789" s="22"/>
    </row>
    <row r="790" spans="1:20" ht="13.2" x14ac:dyDescent="0.25">
      <c r="A790" s="17"/>
      <c r="B790" s="17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20"/>
      <c r="S790" s="21"/>
      <c r="T790" s="22"/>
    </row>
    <row r="791" spans="1:20" ht="13.2" x14ac:dyDescent="0.25">
      <c r="A791" s="17"/>
      <c r="B791" s="17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9"/>
      <c r="R791" s="20"/>
      <c r="S791" s="21"/>
      <c r="T791" s="22"/>
    </row>
    <row r="792" spans="1:20" ht="13.2" x14ac:dyDescent="0.25">
      <c r="A792" s="17"/>
      <c r="B792" s="17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9"/>
      <c r="R792" s="20"/>
      <c r="S792" s="21"/>
      <c r="T792" s="22"/>
    </row>
    <row r="793" spans="1:20" ht="13.2" x14ac:dyDescent="0.25">
      <c r="A793" s="17"/>
      <c r="B793" s="17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9"/>
      <c r="R793" s="20"/>
      <c r="S793" s="21"/>
      <c r="T793" s="22"/>
    </row>
    <row r="794" spans="1:20" ht="13.2" x14ac:dyDescent="0.25">
      <c r="A794" s="17"/>
      <c r="B794" s="17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9"/>
      <c r="R794" s="20"/>
      <c r="S794" s="21"/>
      <c r="T794" s="22"/>
    </row>
    <row r="795" spans="1:20" ht="13.2" x14ac:dyDescent="0.25">
      <c r="A795" s="17"/>
      <c r="B795" s="17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20"/>
      <c r="S795" s="21"/>
      <c r="T795" s="22"/>
    </row>
    <row r="796" spans="1:20" ht="13.2" x14ac:dyDescent="0.25">
      <c r="A796" s="17"/>
      <c r="B796" s="17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9"/>
      <c r="R796" s="20"/>
      <c r="S796" s="21"/>
      <c r="T796" s="22"/>
    </row>
    <row r="797" spans="1:20" ht="13.2" x14ac:dyDescent="0.25">
      <c r="A797" s="17"/>
      <c r="B797" s="17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9"/>
      <c r="R797" s="20"/>
      <c r="S797" s="21"/>
      <c r="T797" s="22"/>
    </row>
    <row r="798" spans="1:20" ht="13.2" x14ac:dyDescent="0.25">
      <c r="A798" s="17"/>
      <c r="B798" s="17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9"/>
      <c r="R798" s="20"/>
      <c r="S798" s="21"/>
      <c r="T798" s="22"/>
    </row>
    <row r="799" spans="1:20" ht="13.2" x14ac:dyDescent="0.25">
      <c r="A799" s="17"/>
      <c r="B799" s="17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20"/>
      <c r="S799" s="21"/>
      <c r="T799" s="22"/>
    </row>
    <row r="800" spans="1:20" ht="13.2" x14ac:dyDescent="0.25">
      <c r="A800" s="17"/>
      <c r="B800" s="17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9"/>
      <c r="R800" s="20"/>
      <c r="S800" s="21"/>
      <c r="T800" s="22"/>
    </row>
    <row r="801" spans="1:20" ht="13.2" x14ac:dyDescent="0.25">
      <c r="A801" s="17"/>
      <c r="B801" s="17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9"/>
      <c r="R801" s="20"/>
      <c r="S801" s="21"/>
      <c r="T801" s="22"/>
    </row>
    <row r="802" spans="1:20" ht="13.2" x14ac:dyDescent="0.25">
      <c r="A802" s="17"/>
      <c r="B802" s="17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9"/>
      <c r="R802" s="20"/>
      <c r="S802" s="21"/>
      <c r="T802" s="22"/>
    </row>
    <row r="803" spans="1:20" ht="13.2" x14ac:dyDescent="0.25">
      <c r="A803" s="17"/>
      <c r="B803" s="17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9"/>
      <c r="R803" s="20"/>
      <c r="S803" s="21"/>
      <c r="T803" s="22"/>
    </row>
    <row r="804" spans="1:20" ht="13.2" x14ac:dyDescent="0.25">
      <c r="A804" s="17"/>
      <c r="B804" s="17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9"/>
      <c r="R804" s="20"/>
      <c r="S804" s="21"/>
      <c r="T804" s="22"/>
    </row>
    <row r="805" spans="1:20" ht="13.2" x14ac:dyDescent="0.25">
      <c r="A805" s="17"/>
      <c r="B805" s="17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9"/>
      <c r="R805" s="20"/>
      <c r="S805" s="21"/>
      <c r="T805" s="22"/>
    </row>
    <row r="806" spans="1:20" ht="13.2" x14ac:dyDescent="0.25">
      <c r="A806" s="17"/>
      <c r="B806" s="17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9"/>
      <c r="R806" s="20"/>
      <c r="S806" s="21"/>
      <c r="T806" s="22"/>
    </row>
    <row r="807" spans="1:20" ht="13.2" x14ac:dyDescent="0.25">
      <c r="A807" s="17"/>
      <c r="B807" s="17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20"/>
      <c r="S807" s="21"/>
      <c r="T807" s="22"/>
    </row>
    <row r="808" spans="1:20" ht="13.2" x14ac:dyDescent="0.25">
      <c r="A808" s="17"/>
      <c r="B808" s="17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9"/>
      <c r="R808" s="20"/>
      <c r="S808" s="21"/>
      <c r="T808" s="22"/>
    </row>
    <row r="809" spans="1:20" ht="13.2" x14ac:dyDescent="0.25">
      <c r="A809" s="17"/>
      <c r="B809" s="17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20"/>
      <c r="S809" s="21"/>
      <c r="T809" s="22"/>
    </row>
    <row r="810" spans="1:20" ht="13.2" x14ac:dyDescent="0.25">
      <c r="A810" s="17"/>
      <c r="B810" s="17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9"/>
      <c r="R810" s="20"/>
      <c r="S810" s="21"/>
      <c r="T810" s="22"/>
    </row>
    <row r="811" spans="1:20" ht="13.2" x14ac:dyDescent="0.25">
      <c r="A811" s="17"/>
      <c r="B811" s="17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9"/>
      <c r="R811" s="20"/>
      <c r="S811" s="21"/>
      <c r="T811" s="22"/>
    </row>
    <row r="812" spans="1:20" ht="13.2" x14ac:dyDescent="0.25">
      <c r="A812" s="17"/>
      <c r="B812" s="17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9"/>
      <c r="R812" s="20"/>
      <c r="S812" s="21"/>
      <c r="T812" s="22"/>
    </row>
    <row r="813" spans="1:20" ht="13.2" x14ac:dyDescent="0.25">
      <c r="A813" s="17"/>
      <c r="B813" s="17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9"/>
      <c r="R813" s="20"/>
      <c r="S813" s="21"/>
      <c r="T813" s="22"/>
    </row>
    <row r="814" spans="1:20" ht="13.2" x14ac:dyDescent="0.25">
      <c r="A814" s="17"/>
      <c r="B814" s="17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20"/>
      <c r="S814" s="21"/>
      <c r="T814" s="22"/>
    </row>
    <row r="815" spans="1:20" ht="13.2" x14ac:dyDescent="0.25">
      <c r="A815" s="17"/>
      <c r="B815" s="17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9"/>
      <c r="R815" s="20"/>
      <c r="S815" s="21"/>
      <c r="T815" s="22"/>
    </row>
    <row r="816" spans="1:20" ht="13.2" x14ac:dyDescent="0.25">
      <c r="A816" s="17"/>
      <c r="B816" s="17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20"/>
      <c r="S816" s="21"/>
      <c r="T816" s="22"/>
    </row>
    <row r="817" spans="1:20" ht="13.2" x14ac:dyDescent="0.25">
      <c r="A817" s="17"/>
      <c r="B817" s="17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9"/>
      <c r="R817" s="20"/>
      <c r="S817" s="21"/>
      <c r="T817" s="22"/>
    </row>
    <row r="818" spans="1:20" ht="13.2" x14ac:dyDescent="0.25">
      <c r="A818" s="17"/>
      <c r="B818" s="17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9"/>
      <c r="R818" s="20"/>
      <c r="S818" s="21"/>
      <c r="T818" s="22"/>
    </row>
    <row r="819" spans="1:20" ht="13.2" x14ac:dyDescent="0.25">
      <c r="A819" s="17"/>
      <c r="B819" s="17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9"/>
      <c r="R819" s="20"/>
      <c r="S819" s="21"/>
      <c r="T819" s="22"/>
    </row>
    <row r="820" spans="1:20" ht="13.2" x14ac:dyDescent="0.25">
      <c r="A820" s="17"/>
      <c r="B820" s="17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20"/>
      <c r="S820" s="21"/>
      <c r="T820" s="22"/>
    </row>
    <row r="821" spans="1:20" ht="13.2" x14ac:dyDescent="0.25">
      <c r="A821" s="17"/>
      <c r="B821" s="17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9"/>
      <c r="R821" s="20"/>
      <c r="S821" s="21"/>
      <c r="T821" s="22"/>
    </row>
    <row r="822" spans="1:20" ht="13.2" x14ac:dyDescent="0.25">
      <c r="A822" s="17"/>
      <c r="B822" s="17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9"/>
      <c r="R822" s="20"/>
      <c r="S822" s="21"/>
      <c r="T822" s="22"/>
    </row>
    <row r="823" spans="1:20" ht="13.2" x14ac:dyDescent="0.25">
      <c r="A823" s="17"/>
      <c r="B823" s="17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9"/>
      <c r="R823" s="20"/>
      <c r="S823" s="21"/>
      <c r="T823" s="22"/>
    </row>
    <row r="824" spans="1:20" ht="13.2" x14ac:dyDescent="0.25">
      <c r="A824" s="17"/>
      <c r="B824" s="17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9"/>
      <c r="R824" s="20"/>
      <c r="S824" s="21"/>
      <c r="T824" s="22"/>
    </row>
    <row r="825" spans="1:20" ht="13.2" x14ac:dyDescent="0.25">
      <c r="A825" s="17"/>
      <c r="B825" s="17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9"/>
      <c r="R825" s="20"/>
      <c r="S825" s="21"/>
      <c r="T825" s="22"/>
    </row>
    <row r="826" spans="1:20" ht="13.2" x14ac:dyDescent="0.25">
      <c r="A826" s="17"/>
      <c r="B826" s="17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9"/>
      <c r="R826" s="20"/>
      <c r="S826" s="21"/>
      <c r="T826" s="22"/>
    </row>
    <row r="827" spans="1:20" ht="13.2" x14ac:dyDescent="0.25">
      <c r="A827" s="17"/>
      <c r="B827" s="17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9"/>
      <c r="R827" s="20"/>
      <c r="S827" s="21"/>
      <c r="T827" s="22"/>
    </row>
    <row r="828" spans="1:20" ht="13.2" x14ac:dyDescent="0.25">
      <c r="A828" s="17"/>
      <c r="B828" s="17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9"/>
      <c r="R828" s="20"/>
      <c r="S828" s="21"/>
      <c r="T828" s="22"/>
    </row>
    <row r="829" spans="1:20" ht="13.2" x14ac:dyDescent="0.25">
      <c r="A829" s="17"/>
      <c r="B829" s="17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20"/>
      <c r="S829" s="21"/>
      <c r="T829" s="22"/>
    </row>
    <row r="830" spans="1:20" ht="13.2" x14ac:dyDescent="0.25">
      <c r="A830" s="17"/>
      <c r="B830" s="17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9"/>
      <c r="R830" s="20"/>
      <c r="S830" s="21"/>
      <c r="T830" s="22"/>
    </row>
    <row r="831" spans="1:20" ht="13.2" x14ac:dyDescent="0.25">
      <c r="A831" s="17"/>
      <c r="B831" s="17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20"/>
      <c r="S831" s="21"/>
      <c r="T831" s="22"/>
    </row>
    <row r="832" spans="1:20" ht="13.2" x14ac:dyDescent="0.25">
      <c r="A832" s="17"/>
      <c r="B832" s="17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9"/>
      <c r="R832" s="20"/>
      <c r="S832" s="21"/>
      <c r="T832" s="22"/>
    </row>
    <row r="833" spans="1:20" ht="13.2" x14ac:dyDescent="0.25">
      <c r="A833" s="17"/>
      <c r="B833" s="17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9"/>
      <c r="R833" s="20"/>
      <c r="S833" s="21"/>
      <c r="T833" s="22"/>
    </row>
    <row r="834" spans="1:20" ht="13.2" x14ac:dyDescent="0.25">
      <c r="A834" s="17"/>
      <c r="B834" s="17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9"/>
      <c r="R834" s="20"/>
      <c r="S834" s="21"/>
      <c r="T834" s="22"/>
    </row>
    <row r="835" spans="1:20" ht="13.2" x14ac:dyDescent="0.25">
      <c r="A835" s="17"/>
      <c r="B835" s="17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9"/>
      <c r="R835" s="20"/>
      <c r="S835" s="21"/>
      <c r="T835" s="22"/>
    </row>
    <row r="836" spans="1:20" ht="13.2" x14ac:dyDescent="0.25">
      <c r="A836" s="17"/>
      <c r="B836" s="17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20"/>
      <c r="S836" s="21"/>
      <c r="T836" s="22"/>
    </row>
    <row r="837" spans="1:20" ht="13.2" x14ac:dyDescent="0.25">
      <c r="A837" s="17"/>
      <c r="B837" s="17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9"/>
      <c r="R837" s="20"/>
      <c r="S837" s="21"/>
      <c r="T837" s="22"/>
    </row>
  </sheetData>
  <mergeCells count="2">
    <mergeCell ref="B4:Q4"/>
    <mergeCell ref="B12:Q12"/>
  </mergeCells>
  <conditionalFormatting sqref="V13">
    <cfRule type="notContainsBlanks" dxfId="4" priority="1">
      <formula>LEN(TRIM(V13))&gt;0</formula>
    </cfRule>
  </conditionalFormatting>
  <dataValidations count="3">
    <dataValidation type="custom" allowBlank="1" showDropDown="1" showInputMessage="1" showErrorMessage="1" prompt="Ide 2006-2010 (2011) közötti évszámok írható be!" sqref="D5:D9 D13:D17" xr:uid="{00000000-0002-0000-0700-000000000000}">
      <formula1>OR(D5 = "2006", D5="2007",  D5="2008", D5="2009", D5="2010", D5="2011")</formula1>
    </dataValidation>
    <dataValidation type="custom" allowBlank="1" showDropDown="1" showInputMessage="1" showErrorMessage="1" prompt="Ide csak az elért magasság, valamint a DNS, NH, DQ jelek írható!" sqref="Q6:Q9 Q13:Q17" xr:uid="{00000000-0002-0000-0700-000001000000}">
      <formula1>REGEXMATCH(Q6, "^\d,\d\d$|^NH$|^DNS$")</formula1>
    </dataValidation>
    <dataValidation type="custom" allowBlank="1" showDropDown="1" showInputMessage="1" showErrorMessage="1" prompt="Csak az x, o, - jeleket használja!" sqref="E5:P9 E13:P17" xr:uid="{00000000-0002-0000-0700-000002000000}">
      <formula1>REGEXMATCH(E5,"^-$|^x$|^x$|^xx$|^xxx$|^x-$|^xx-$|^o$|^xo$|^xxo$")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1C232"/>
    <outlinePr summaryBelow="0" summaryRight="0"/>
  </sheetPr>
  <dimension ref="A1:AA707"/>
  <sheetViews>
    <sheetView workbookViewId="0">
      <pane ySplit="3" topLeftCell="A4" activePane="bottomLeft" state="frozen"/>
      <selection pane="bottomLeft" activeCell="A52" sqref="A52:XFD368"/>
    </sheetView>
  </sheetViews>
  <sheetFormatPr defaultColWidth="12.6640625" defaultRowHeight="15.75" customHeight="1" x14ac:dyDescent="0.25"/>
  <cols>
    <col min="1" max="1" width="4.21875" customWidth="1"/>
    <col min="2" max="2" width="3.21875" customWidth="1"/>
    <col min="3" max="3" width="22.44140625" customWidth="1"/>
    <col min="4" max="4" width="6.44140625" customWidth="1"/>
    <col min="5" max="7" width="7.109375" customWidth="1"/>
    <col min="8" max="8" width="6.88671875" customWidth="1"/>
    <col min="10" max="10" width="8.21875" customWidth="1"/>
  </cols>
  <sheetData>
    <row r="1" spans="1:27" ht="25.8" x14ac:dyDescent="0.8">
      <c r="A1" s="62" t="s">
        <v>497</v>
      </c>
      <c r="B1" s="63"/>
      <c r="C1" s="64"/>
      <c r="D1" s="65"/>
      <c r="E1" s="66"/>
      <c r="F1" s="66"/>
      <c r="G1" s="66"/>
      <c r="H1" s="70"/>
      <c r="I1" s="69"/>
      <c r="J1" s="70"/>
    </row>
    <row r="2" spans="1:27" ht="16.2" x14ac:dyDescent="0.5">
      <c r="A2" s="9" t="s">
        <v>1</v>
      </c>
      <c r="B2" s="9" t="s">
        <v>2</v>
      </c>
      <c r="C2" s="11"/>
      <c r="D2" s="12" t="s">
        <v>3</v>
      </c>
      <c r="E2" s="12" t="s">
        <v>73</v>
      </c>
      <c r="F2" s="12" t="s">
        <v>74</v>
      </c>
      <c r="G2" s="12" t="s">
        <v>75</v>
      </c>
      <c r="H2" s="48" t="s">
        <v>76</v>
      </c>
      <c r="I2" s="14" t="s">
        <v>6</v>
      </c>
      <c r="J2" s="15" t="s">
        <v>7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3.2" x14ac:dyDescent="0.25">
      <c r="A3" s="17"/>
      <c r="B3" s="17"/>
      <c r="D3" s="18"/>
      <c r="E3" s="18"/>
      <c r="F3" s="18"/>
      <c r="G3" s="18"/>
      <c r="H3" s="49"/>
      <c r="I3" s="21"/>
      <c r="J3" s="22"/>
    </row>
    <row r="4" spans="1:27" ht="15.6" x14ac:dyDescent="0.25">
      <c r="A4" s="23">
        <v>1</v>
      </c>
      <c r="B4" s="72" t="s">
        <v>498</v>
      </c>
      <c r="C4" s="73"/>
      <c r="D4" s="73"/>
      <c r="E4" s="73"/>
      <c r="F4" s="73"/>
      <c r="G4" s="74"/>
      <c r="H4" s="50"/>
      <c r="I4" s="25">
        <f ca="1">IF(COUNTIFS(H5:H9,"&gt;0") &gt; 3, FLOOR((SUM(H5:H9)-MIN(H5,H6,H7,H8,H9))/4,0.0001), )</f>
        <v>4.6950000000000003</v>
      </c>
      <c r="J4" s="26">
        <f ca="1">IF(I4=0,"",RANK(I4,$I$4:$I$51,))</f>
        <v>1</v>
      </c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8.75" customHeight="1" x14ac:dyDescent="0.25">
      <c r="A5" s="17"/>
      <c r="B5" s="28">
        <v>1</v>
      </c>
      <c r="C5" s="29" t="s">
        <v>499</v>
      </c>
      <c r="D5" s="30" t="s">
        <v>10</v>
      </c>
      <c r="E5" s="51" t="s">
        <v>500</v>
      </c>
      <c r="F5" s="51" t="s">
        <v>118</v>
      </c>
      <c r="G5" s="51" t="s">
        <v>131</v>
      </c>
      <c r="H5" s="52">
        <f ca="1">IFERROR(__xludf.DUMMYFUNCTION("MAX(IF(REGEXMATCH(E5,""^\d{1},\d{2}$""),VALUE(E5),0),IF(REGEXMATCH(F5,""^\d{1},\d{2}$""),VALUE(F5),0),IF(REGEXMATCH(G5,""^\d{1},\d{2}$""),VALUE(G5),0))"),4.32)</f>
        <v>4.32</v>
      </c>
      <c r="I5" s="21"/>
      <c r="J5" s="22"/>
    </row>
    <row r="6" spans="1:27" ht="18.75" customHeight="1" x14ac:dyDescent="0.25">
      <c r="A6" s="17"/>
      <c r="B6" s="28">
        <v>2</v>
      </c>
      <c r="C6" s="29" t="s">
        <v>501</v>
      </c>
      <c r="D6" s="30" t="s">
        <v>32</v>
      </c>
      <c r="E6" s="51" t="s">
        <v>173</v>
      </c>
      <c r="F6" s="51" t="s">
        <v>133</v>
      </c>
      <c r="G6" s="51" t="s">
        <v>502</v>
      </c>
      <c r="H6" s="52">
        <f ca="1">IFERROR(__xludf.DUMMYFUNCTION("MAX(IF(REGEXMATCH(E6,""^\d{1},\d{2}$""),VALUE(E6),0),IF(REGEXMATCH(F6,""^\d{1},\d{2}$""),VALUE(F6),0),IF(REGEXMATCH(G6,""^\d{1},\d{2}$""),VALUE(G6),0))"),4.98)</f>
        <v>4.9800000000000004</v>
      </c>
      <c r="I6" s="21"/>
      <c r="J6" s="22"/>
    </row>
    <row r="7" spans="1:27" ht="18.75" customHeight="1" x14ac:dyDescent="0.25">
      <c r="A7" s="17"/>
      <c r="B7" s="28">
        <v>3</v>
      </c>
      <c r="C7" s="29" t="s">
        <v>503</v>
      </c>
      <c r="D7" s="30" t="s">
        <v>15</v>
      </c>
      <c r="E7" s="51" t="s">
        <v>504</v>
      </c>
      <c r="F7" s="51" t="s">
        <v>505</v>
      </c>
      <c r="G7" s="51" t="s">
        <v>506</v>
      </c>
      <c r="H7" s="52">
        <f ca="1">IFERROR(__xludf.DUMMYFUNCTION("MAX(IF(REGEXMATCH(E7,""^\d{1},\d{2}$""),VALUE(E7),0),IF(REGEXMATCH(F7,""^\d{1},\d{2}$""),VALUE(F7),0),IF(REGEXMATCH(G7,""^\d{1},\d{2}$""),VALUE(G7),0))"),4.54)</f>
        <v>4.54</v>
      </c>
      <c r="I7" s="21"/>
      <c r="J7" s="22"/>
    </row>
    <row r="8" spans="1:27" ht="18.75" customHeight="1" x14ac:dyDescent="0.25">
      <c r="A8" s="17"/>
      <c r="B8" s="28">
        <v>4</v>
      </c>
      <c r="C8" s="29" t="s">
        <v>507</v>
      </c>
      <c r="D8" s="30" t="s">
        <v>18</v>
      </c>
      <c r="E8" s="51" t="s">
        <v>78</v>
      </c>
      <c r="F8" s="51" t="s">
        <v>78</v>
      </c>
      <c r="G8" s="51" t="s">
        <v>78</v>
      </c>
      <c r="H8" s="52">
        <f ca="1">IFERROR(__xludf.DUMMYFUNCTION("MAX(IF(REGEXMATCH(E8,""^\d{1},\d{2}$""),VALUE(E8),0),IF(REGEXMATCH(F8,""^\d{1},\d{2}$""),VALUE(F8),0),IF(REGEXMATCH(G8,""^\d{1},\d{2}$""),VALUE(G8),0))"),0)</f>
        <v>0</v>
      </c>
      <c r="I8" s="21"/>
      <c r="J8" s="22"/>
    </row>
    <row r="9" spans="1:27" ht="18.75" customHeight="1" x14ac:dyDescent="0.25">
      <c r="A9" s="17"/>
      <c r="B9" s="28">
        <v>5</v>
      </c>
      <c r="C9" s="29" t="s">
        <v>508</v>
      </c>
      <c r="D9" s="30" t="s">
        <v>18</v>
      </c>
      <c r="E9" s="51" t="s">
        <v>142</v>
      </c>
      <c r="F9" s="51" t="s">
        <v>509</v>
      </c>
      <c r="G9" s="51" t="s">
        <v>78</v>
      </c>
      <c r="H9" s="52">
        <f ca="1">IFERROR(__xludf.DUMMYFUNCTION("MAX(IF(REGEXMATCH(E9,""^\d{1},\d{2}$""),VALUE(E9),0),IF(REGEXMATCH(F9,""^\d{1},\d{2}$""),VALUE(F9),0),IF(REGEXMATCH(G9,""^\d{1},\d{2}$""),VALUE(G9),0))"),4.94)</f>
        <v>4.9400000000000004</v>
      </c>
      <c r="I9" s="21"/>
      <c r="J9" s="22"/>
    </row>
    <row r="10" spans="1:27" ht="13.2" x14ac:dyDescent="0.25">
      <c r="A10" s="17"/>
      <c r="B10" s="53" t="s">
        <v>22</v>
      </c>
      <c r="C10" s="36"/>
      <c r="D10" s="54" t="s">
        <v>510</v>
      </c>
      <c r="E10" s="38"/>
      <c r="F10" s="38"/>
      <c r="G10" s="38"/>
      <c r="H10" s="55"/>
      <c r="I10" s="21"/>
      <c r="J10" s="22"/>
    </row>
    <row r="11" spans="1:27" ht="13.2" x14ac:dyDescent="0.25">
      <c r="A11" s="17"/>
      <c r="B11" s="17"/>
      <c r="D11" s="18"/>
      <c r="E11" s="18"/>
      <c r="F11" s="18"/>
      <c r="G11" s="18"/>
      <c r="H11" s="49"/>
      <c r="I11" s="21"/>
      <c r="J11" s="22"/>
    </row>
    <row r="12" spans="1:27" ht="15.6" x14ac:dyDescent="0.25">
      <c r="A12" s="23">
        <v>2</v>
      </c>
      <c r="B12" s="72" t="s">
        <v>511</v>
      </c>
      <c r="C12" s="73"/>
      <c r="D12" s="73"/>
      <c r="E12" s="73"/>
      <c r="F12" s="73"/>
      <c r="G12" s="73"/>
      <c r="H12" s="50"/>
      <c r="I12" s="25">
        <f ca="1">IF(COUNTIFS(H13:H17,"&gt;0") &gt; 3, FLOOR((SUM(H13:H17)-MIN(H13,H14,H15,H16,H17))/4,0.0001), )</f>
        <v>4.3125</v>
      </c>
      <c r="J12" s="26">
        <f ca="1">IF(I12=0,"",RANK(I12,$I$4:$I$51,))</f>
        <v>2</v>
      </c>
    </row>
    <row r="13" spans="1:27" ht="18.75" customHeight="1" x14ac:dyDescent="0.25">
      <c r="A13" s="17"/>
      <c r="B13" s="28">
        <v>1</v>
      </c>
      <c r="C13" s="29" t="s">
        <v>512</v>
      </c>
      <c r="D13" s="44" t="s">
        <v>10</v>
      </c>
      <c r="E13" s="51" t="s">
        <v>513</v>
      </c>
      <c r="F13" s="51" t="s">
        <v>514</v>
      </c>
      <c r="G13" s="51" t="s">
        <v>515</v>
      </c>
      <c r="H13" s="52">
        <f ca="1">IFERROR(__xludf.DUMMYFUNCTION("MAX(IF(REGEXMATCH(E13,""^\d{1},\d{2}$""),VALUE(E13),0),IF(REGEXMATCH(F13,""^\d{1},\d{2}$""),VALUE(F13),0),IF(REGEXMATCH(G13,""^\d{1},\d{2}$""),VALUE(G13),0))"),4.1)</f>
        <v>4.0999999999999996</v>
      </c>
      <c r="I13" s="21"/>
      <c r="J13" s="22"/>
    </row>
    <row r="14" spans="1:27" ht="18.75" customHeight="1" x14ac:dyDescent="0.25">
      <c r="A14" s="17"/>
      <c r="B14" s="28">
        <v>2</v>
      </c>
      <c r="C14" s="29" t="s">
        <v>516</v>
      </c>
      <c r="D14" s="44" t="s">
        <v>10</v>
      </c>
      <c r="E14" s="51" t="s">
        <v>517</v>
      </c>
      <c r="F14" s="51" t="s">
        <v>518</v>
      </c>
      <c r="G14" s="51" t="s">
        <v>78</v>
      </c>
      <c r="H14" s="52">
        <f ca="1">IFERROR(__xludf.DUMMYFUNCTION("MAX(IF(REGEXMATCH(E14,""^\d{1},\d{2}$""),VALUE(E14),0),IF(REGEXMATCH(F14,""^\d{1},\d{2}$""),VALUE(F14),0),IF(REGEXMATCH(G14,""^\d{1},\d{2}$""),VALUE(G14),0))"),4.23)</f>
        <v>4.2300000000000004</v>
      </c>
      <c r="I14" s="21"/>
      <c r="J14" s="22"/>
    </row>
    <row r="15" spans="1:27" ht="18.75" customHeight="1" x14ac:dyDescent="0.25">
      <c r="A15" s="17"/>
      <c r="B15" s="28">
        <v>3</v>
      </c>
      <c r="C15" s="29" t="s">
        <v>519</v>
      </c>
      <c r="D15" s="44" t="s">
        <v>10</v>
      </c>
      <c r="E15" s="51" t="s">
        <v>520</v>
      </c>
      <c r="F15" s="51" t="s">
        <v>521</v>
      </c>
      <c r="G15" s="51" t="s">
        <v>78</v>
      </c>
      <c r="H15" s="52">
        <f ca="1">IFERROR(__xludf.DUMMYFUNCTION("MAX(IF(REGEXMATCH(E15,""^\d{1},\d{2}$""),VALUE(E15),0),IF(REGEXMATCH(F15,""^\d{1},\d{2}$""),VALUE(F15),0),IF(REGEXMATCH(G15,""^\d{1},\d{2}$""),VALUE(G15),0))"),4.52)</f>
        <v>4.5199999999999996</v>
      </c>
      <c r="I15" s="21"/>
      <c r="J15" s="22"/>
    </row>
    <row r="16" spans="1:27" ht="18.75" customHeight="1" x14ac:dyDescent="0.25">
      <c r="A16" s="17"/>
      <c r="B16" s="28">
        <v>4</v>
      </c>
      <c r="C16" s="29" t="s">
        <v>489</v>
      </c>
      <c r="D16" s="44" t="s">
        <v>10</v>
      </c>
      <c r="E16" s="51" t="s">
        <v>500</v>
      </c>
      <c r="F16" s="51" t="s">
        <v>522</v>
      </c>
      <c r="G16" s="51" t="s">
        <v>78</v>
      </c>
      <c r="H16" s="52">
        <f ca="1">IFERROR(__xludf.DUMMYFUNCTION("MAX(IF(REGEXMATCH(E16,""^\d{1},\d{2}$""),VALUE(E16),0),IF(REGEXMATCH(F16,""^\d{1},\d{2}$""),VALUE(F16),0),IF(REGEXMATCH(G16,""^\d{1},\d{2}$""),VALUE(G16),0))"),4.04)</f>
        <v>4.04</v>
      </c>
      <c r="I16" s="21"/>
      <c r="J16" s="22"/>
    </row>
    <row r="17" spans="1:10" ht="18.75" customHeight="1" x14ac:dyDescent="0.25">
      <c r="A17" s="17"/>
      <c r="B17" s="28">
        <v>5</v>
      </c>
      <c r="C17" s="29" t="s">
        <v>523</v>
      </c>
      <c r="D17" s="44" t="s">
        <v>18</v>
      </c>
      <c r="E17" s="51" t="s">
        <v>78</v>
      </c>
      <c r="F17" s="51" t="s">
        <v>103</v>
      </c>
      <c r="G17" s="51" t="s">
        <v>78</v>
      </c>
      <c r="H17" s="52">
        <f ca="1">IFERROR(__xludf.DUMMYFUNCTION("MAX(IF(REGEXMATCH(E17,""^\d{1},\d{2}$""),VALUE(E17),0),IF(REGEXMATCH(F17,""^\d{1},\d{2}$""),VALUE(F17),0),IF(REGEXMATCH(G17,""^\d{1},\d{2}$""),VALUE(G17),0))"),4.4)</f>
        <v>4.4000000000000004</v>
      </c>
      <c r="I17" s="21"/>
      <c r="J17" s="22"/>
    </row>
    <row r="18" spans="1:10" ht="13.2" x14ac:dyDescent="0.25">
      <c r="A18" s="17"/>
      <c r="B18" s="53" t="s">
        <v>22</v>
      </c>
      <c r="C18" s="36"/>
      <c r="D18" s="37" t="s">
        <v>491</v>
      </c>
      <c r="E18" s="38"/>
      <c r="F18" s="38"/>
      <c r="G18" s="38"/>
      <c r="H18" s="55"/>
      <c r="I18" s="21"/>
      <c r="J18" s="22"/>
    </row>
    <row r="19" spans="1:10" ht="13.2" x14ac:dyDescent="0.25">
      <c r="A19" s="17"/>
      <c r="B19" s="17"/>
      <c r="D19" s="18"/>
      <c r="E19" s="18"/>
      <c r="F19" s="18"/>
      <c r="G19" s="18"/>
      <c r="H19" s="49"/>
      <c r="I19" s="21"/>
      <c r="J19" s="22"/>
    </row>
    <row r="20" spans="1:10" ht="15.6" x14ac:dyDescent="0.25">
      <c r="A20" s="23">
        <v>3</v>
      </c>
      <c r="B20" s="72" t="s">
        <v>524</v>
      </c>
      <c r="C20" s="73"/>
      <c r="D20" s="73"/>
      <c r="E20" s="73"/>
      <c r="F20" s="73"/>
      <c r="G20" s="73"/>
      <c r="H20" s="50"/>
      <c r="I20" s="25">
        <f ca="1">IF(COUNTIFS(H21:H25,"&gt;0") &gt; 3, FLOOR((SUM(H21:H25)-MIN(H21,H22,H23,H24,H25))/4,0.0001), )</f>
        <v>4.2675000000000001</v>
      </c>
      <c r="J20" s="26">
        <f ca="1">IF(I20=0,"",RANK(I20,$I$4:$I$51,))</f>
        <v>3</v>
      </c>
    </row>
    <row r="21" spans="1:10" ht="13.2" x14ac:dyDescent="0.25">
      <c r="A21" s="17"/>
      <c r="B21" s="28">
        <v>1</v>
      </c>
      <c r="C21" s="29" t="s">
        <v>525</v>
      </c>
      <c r="D21" s="44" t="s">
        <v>26</v>
      </c>
      <c r="E21" s="51" t="s">
        <v>78</v>
      </c>
      <c r="F21" s="51" t="s">
        <v>78</v>
      </c>
      <c r="G21" s="51" t="s">
        <v>526</v>
      </c>
      <c r="H21" s="52">
        <f ca="1">IFERROR(__xludf.DUMMYFUNCTION("MAX(IF(REGEXMATCH(E21,""^\d{1},\d{2}$""),VALUE(E21),0),IF(REGEXMATCH(F21,""^\d{1},\d{2}$""),VALUE(F21),0),IF(REGEXMATCH(G21,""^\d{1},\d{2}$""),VALUE(G21),0))"),3.99)</f>
        <v>3.99</v>
      </c>
      <c r="I21" s="21"/>
      <c r="J21" s="22"/>
    </row>
    <row r="22" spans="1:10" ht="13.2" x14ac:dyDescent="0.25">
      <c r="A22" s="17"/>
      <c r="B22" s="28">
        <v>2</v>
      </c>
      <c r="C22" s="29" t="s">
        <v>527</v>
      </c>
      <c r="D22" s="44" t="s">
        <v>15</v>
      </c>
      <c r="E22" s="51" t="s">
        <v>528</v>
      </c>
      <c r="F22" s="51" t="s">
        <v>78</v>
      </c>
      <c r="G22" s="51" t="s">
        <v>529</v>
      </c>
      <c r="H22" s="52">
        <f ca="1">IFERROR(__xludf.DUMMYFUNCTION("MAX(IF(REGEXMATCH(E22,""^\d{1},\d{2}$""),VALUE(E22),0),IF(REGEXMATCH(F22,""^\d{1},\d{2}$""),VALUE(F22),0),IF(REGEXMATCH(G22,""^\d{1},\d{2}$""),VALUE(G22),0))"),3.57)</f>
        <v>3.57</v>
      </c>
      <c r="I22" s="21"/>
      <c r="J22" s="22"/>
    </row>
    <row r="23" spans="1:10" ht="13.2" x14ac:dyDescent="0.25">
      <c r="A23" s="17"/>
      <c r="B23" s="28">
        <v>3</v>
      </c>
      <c r="C23" s="29" t="s">
        <v>530</v>
      </c>
      <c r="D23" s="44" t="s">
        <v>26</v>
      </c>
      <c r="E23" s="51" t="s">
        <v>78</v>
      </c>
      <c r="F23" s="51" t="s">
        <v>78</v>
      </c>
      <c r="G23" s="51" t="s">
        <v>504</v>
      </c>
      <c r="H23" s="52">
        <f ca="1">IFERROR(__xludf.DUMMYFUNCTION("MAX(IF(REGEXMATCH(E23,""^\d{1},\d{2}$""),VALUE(E23),0),IF(REGEXMATCH(F23,""^\d{1},\d{2}$""),VALUE(F23),0),IF(REGEXMATCH(G23,""^\d{1},\d{2}$""),VALUE(G23),0))"),3.96)</f>
        <v>3.96</v>
      </c>
      <c r="I23" s="21"/>
      <c r="J23" s="22"/>
    </row>
    <row r="24" spans="1:10" ht="13.2" x14ac:dyDescent="0.25">
      <c r="A24" s="17"/>
      <c r="B24" s="28">
        <v>4</v>
      </c>
      <c r="C24" s="29" t="s">
        <v>531</v>
      </c>
      <c r="D24" s="44" t="s">
        <v>10</v>
      </c>
      <c r="E24" s="51" t="s">
        <v>532</v>
      </c>
      <c r="F24" s="51" t="s">
        <v>533</v>
      </c>
      <c r="G24" s="51" t="s">
        <v>534</v>
      </c>
      <c r="H24" s="52">
        <f ca="1">IFERROR(__xludf.DUMMYFUNCTION("MAX(IF(REGEXMATCH(E24,""^\d{1},\d{2}$""),VALUE(E24),0),IF(REGEXMATCH(F24,""^\d{1},\d{2}$""),VALUE(F24),0),IF(REGEXMATCH(G24,""^\d{1},\d{2}$""),VALUE(G24),0))"),4.53)</f>
        <v>4.53</v>
      </c>
      <c r="I24" s="21"/>
      <c r="J24" s="22"/>
    </row>
    <row r="25" spans="1:10" ht="13.2" x14ac:dyDescent="0.25">
      <c r="A25" s="17"/>
      <c r="B25" s="28">
        <v>5</v>
      </c>
      <c r="C25" s="29" t="s">
        <v>535</v>
      </c>
      <c r="D25" s="44" t="s">
        <v>32</v>
      </c>
      <c r="E25" s="51" t="s">
        <v>536</v>
      </c>
      <c r="F25" s="51" t="s">
        <v>537</v>
      </c>
      <c r="G25" s="51" t="s">
        <v>532</v>
      </c>
      <c r="H25" s="52">
        <f ca="1">IFERROR(__xludf.DUMMYFUNCTION("MAX(IF(REGEXMATCH(E25,""^\d{1},\d{2}$""),VALUE(E25),0),IF(REGEXMATCH(F25,""^\d{1},\d{2}$""),VALUE(F25),0),IF(REGEXMATCH(G25,""^\d{1},\d{2}$""),VALUE(G25),0))"),4.59)</f>
        <v>4.59</v>
      </c>
      <c r="I25" s="21"/>
      <c r="J25" s="22"/>
    </row>
    <row r="26" spans="1:10" ht="13.2" x14ac:dyDescent="0.25">
      <c r="A26" s="17"/>
      <c r="B26" s="53" t="s">
        <v>22</v>
      </c>
      <c r="C26" s="36"/>
      <c r="D26" s="37" t="s">
        <v>57</v>
      </c>
      <c r="E26" s="38"/>
      <c r="F26" s="38"/>
      <c r="G26" s="38"/>
      <c r="H26" s="55"/>
      <c r="I26" s="21"/>
      <c r="J26" s="22"/>
    </row>
    <row r="27" spans="1:10" ht="13.2" x14ac:dyDescent="0.25">
      <c r="A27" s="17"/>
      <c r="B27" s="17"/>
      <c r="D27" s="18"/>
      <c r="E27" s="18"/>
      <c r="F27" s="18"/>
      <c r="G27" s="18"/>
      <c r="H27" s="49"/>
      <c r="I27" s="21"/>
      <c r="J27" s="22"/>
    </row>
    <row r="28" spans="1:10" ht="15.6" x14ac:dyDescent="0.25">
      <c r="A28" s="23">
        <v>4</v>
      </c>
      <c r="B28" s="72" t="s">
        <v>538</v>
      </c>
      <c r="C28" s="73"/>
      <c r="D28" s="73"/>
      <c r="E28" s="73"/>
      <c r="F28" s="73"/>
      <c r="G28" s="73"/>
      <c r="H28" s="50"/>
      <c r="I28" s="25">
        <f ca="1">IF(COUNTIFS(H29:H33,"&gt;0") &gt; 3, FLOOR((SUM(H29:H33)-MIN(H29,H30,H31,H32,H33))/4,0.0001), )</f>
        <v>4.1924999999999999</v>
      </c>
      <c r="J28" s="26">
        <f ca="1">IF(I28=0,"",RANK(I28,$I$4:$I$51,))</f>
        <v>4</v>
      </c>
    </row>
    <row r="29" spans="1:10" ht="13.2" x14ac:dyDescent="0.25">
      <c r="A29" s="17"/>
      <c r="B29" s="28">
        <v>1</v>
      </c>
      <c r="C29" s="29" t="s">
        <v>492</v>
      </c>
      <c r="D29" s="44" t="s">
        <v>15</v>
      </c>
      <c r="E29" s="51" t="s">
        <v>78</v>
      </c>
      <c r="F29" s="51" t="s">
        <v>504</v>
      </c>
      <c r="G29" s="51" t="s">
        <v>156</v>
      </c>
      <c r="H29" s="52">
        <f ca="1">IFERROR(__xludf.DUMMYFUNCTION("MAX(IF(REGEXMATCH(E29,""^\d{1},\d{2}$""),VALUE(E29),0),IF(REGEXMATCH(F29,""^\d{1},\d{2}$""),VALUE(F29),0),IF(REGEXMATCH(G29,""^\d{1},\d{2}$""),VALUE(G29),0))"),4.28)</f>
        <v>4.28</v>
      </c>
      <c r="I29" s="21"/>
      <c r="J29" s="22"/>
    </row>
    <row r="30" spans="1:10" ht="13.2" x14ac:dyDescent="0.25">
      <c r="A30" s="17"/>
      <c r="B30" s="28">
        <v>2</v>
      </c>
      <c r="C30" s="29" t="s">
        <v>493</v>
      </c>
      <c r="D30" s="44" t="s">
        <v>15</v>
      </c>
      <c r="E30" s="51" t="s">
        <v>539</v>
      </c>
      <c r="F30" s="51" t="s">
        <v>540</v>
      </c>
      <c r="G30" s="51" t="s">
        <v>505</v>
      </c>
      <c r="H30" s="52">
        <f ca="1">IFERROR(__xludf.DUMMYFUNCTION("MAX(IF(REGEXMATCH(E30,""^\d{1},\d{2}$""),VALUE(E30),0),IF(REGEXMATCH(F30,""^\d{1},\d{2}$""),VALUE(F30),0),IF(REGEXMATCH(G30,""^\d{1},\d{2}$""),VALUE(G30),0))"),4.27)</f>
        <v>4.2699999999999996</v>
      </c>
      <c r="I30" s="21"/>
      <c r="J30" s="22"/>
    </row>
    <row r="31" spans="1:10" ht="13.2" x14ac:dyDescent="0.25">
      <c r="A31" s="17"/>
      <c r="B31" s="28">
        <v>3</v>
      </c>
      <c r="C31" s="29" t="s">
        <v>496</v>
      </c>
      <c r="D31" s="44" t="s">
        <v>15</v>
      </c>
      <c r="E31" s="51" t="s">
        <v>78</v>
      </c>
      <c r="F31" s="51" t="s">
        <v>541</v>
      </c>
      <c r="G31" s="51" t="s">
        <v>522</v>
      </c>
      <c r="H31" s="52">
        <f ca="1">IFERROR(__xludf.DUMMYFUNCTION("MAX(IF(REGEXMATCH(E31,""^\d{1},\d{2}$""),VALUE(E31),0),IF(REGEXMATCH(F31,""^\d{1},\d{2}$""),VALUE(F31),0),IF(REGEXMATCH(G31,""^\d{1},\d{2}$""),VALUE(G31),0))"),4.04)</f>
        <v>4.04</v>
      </c>
      <c r="I31" s="21"/>
      <c r="J31" s="22"/>
    </row>
    <row r="32" spans="1:10" ht="13.2" x14ac:dyDescent="0.25">
      <c r="A32" s="17"/>
      <c r="B32" s="28">
        <v>4</v>
      </c>
      <c r="C32" s="29" t="s">
        <v>542</v>
      </c>
      <c r="D32" s="44" t="s">
        <v>26</v>
      </c>
      <c r="E32" s="51" t="s">
        <v>543</v>
      </c>
      <c r="F32" s="51" t="s">
        <v>544</v>
      </c>
      <c r="G32" s="51" t="s">
        <v>532</v>
      </c>
      <c r="H32" s="52">
        <f ca="1">IFERROR(__xludf.DUMMYFUNCTION("MAX(IF(REGEXMATCH(E32,""^\d{1},\d{2}$""),VALUE(E32),0),IF(REGEXMATCH(F32,""^\d{1},\d{2}$""),VALUE(F32),0),IF(REGEXMATCH(G32,""^\d{1},\d{2}$""),VALUE(G32),0))"),4.18)</f>
        <v>4.18</v>
      </c>
      <c r="I32" s="21"/>
      <c r="J32" s="22"/>
    </row>
    <row r="33" spans="1:10" ht="13.2" x14ac:dyDescent="0.25">
      <c r="A33" s="17"/>
      <c r="B33" s="28">
        <v>5</v>
      </c>
      <c r="C33" s="29" t="s">
        <v>545</v>
      </c>
      <c r="D33" s="44" t="s">
        <v>15</v>
      </c>
      <c r="E33" s="51" t="s">
        <v>546</v>
      </c>
      <c r="F33" s="51" t="s">
        <v>513</v>
      </c>
      <c r="G33" s="51" t="s">
        <v>522</v>
      </c>
      <c r="H33" s="52">
        <f ca="1">IFERROR(__xludf.DUMMYFUNCTION("MAX(IF(REGEXMATCH(E33,""^\d{1},\d{2}$""),VALUE(E33),0),IF(REGEXMATCH(F33,""^\d{1},\d{2}$""),VALUE(F33),0),IF(REGEXMATCH(G33,""^\d{1},\d{2}$""),VALUE(G33),0))"),4.04)</f>
        <v>4.04</v>
      </c>
      <c r="I33" s="21"/>
      <c r="J33" s="22"/>
    </row>
    <row r="34" spans="1:10" ht="13.2" x14ac:dyDescent="0.25">
      <c r="A34" s="17"/>
      <c r="B34" s="53" t="s">
        <v>22</v>
      </c>
      <c r="C34" s="36"/>
      <c r="D34" s="37" t="s">
        <v>23</v>
      </c>
      <c r="E34" s="38"/>
      <c r="F34" s="38"/>
      <c r="G34" s="38"/>
      <c r="H34" s="55"/>
      <c r="I34" s="21"/>
      <c r="J34" s="22"/>
    </row>
    <row r="35" spans="1:10" ht="13.2" x14ac:dyDescent="0.25">
      <c r="A35" s="17"/>
      <c r="B35" s="17"/>
      <c r="D35" s="18"/>
      <c r="E35" s="18"/>
      <c r="F35" s="18"/>
      <c r="G35" s="18"/>
      <c r="H35" s="49"/>
      <c r="I35" s="21"/>
      <c r="J35" s="22"/>
    </row>
    <row r="36" spans="1:10" ht="15.6" x14ac:dyDescent="0.25">
      <c r="A36" s="23">
        <v>5</v>
      </c>
      <c r="B36" s="72" t="s">
        <v>547</v>
      </c>
      <c r="C36" s="73"/>
      <c r="D36" s="73"/>
      <c r="E36" s="73"/>
      <c r="F36" s="73"/>
      <c r="G36" s="73"/>
      <c r="H36" s="50"/>
      <c r="I36" s="25">
        <f ca="1">IF(COUNTIFS(H37:H41,"&gt;0") &gt; 3, FLOOR((SUM(H37:H41)-MIN(H37,H38,H39,H40,H41))/4,0.0001), )</f>
        <v>3.8000000000000003</v>
      </c>
      <c r="J36" s="26">
        <f ca="1">IF(I36=0,"",RANK(I36,$I$4:$I$51,))</f>
        <v>5</v>
      </c>
    </row>
    <row r="37" spans="1:10" ht="13.2" x14ac:dyDescent="0.25">
      <c r="A37" s="17"/>
      <c r="B37" s="28">
        <v>1</v>
      </c>
      <c r="C37" s="29" t="s">
        <v>548</v>
      </c>
      <c r="D37" s="44" t="s">
        <v>15</v>
      </c>
      <c r="E37" s="51" t="s">
        <v>78</v>
      </c>
      <c r="F37" s="51" t="s">
        <v>78</v>
      </c>
      <c r="G37" s="51" t="s">
        <v>541</v>
      </c>
      <c r="H37" s="52">
        <f ca="1">IFERROR(__xludf.DUMMYFUNCTION("MAX(IF(REGEXMATCH(E37,""^\d{1},\d{2}$""),VALUE(E37),0),IF(REGEXMATCH(F37,""^\d{1},\d{2}$""),VALUE(F37),0),IF(REGEXMATCH(G37,""^\d{1},\d{2}$""),VALUE(G37),0))"),3.76)</f>
        <v>3.76</v>
      </c>
      <c r="I37" s="21"/>
      <c r="J37" s="22"/>
    </row>
    <row r="38" spans="1:10" ht="13.2" x14ac:dyDescent="0.25">
      <c r="A38" s="17"/>
      <c r="B38" s="28">
        <v>2</v>
      </c>
      <c r="C38" s="29" t="s">
        <v>549</v>
      </c>
      <c r="D38" s="44" t="s">
        <v>15</v>
      </c>
      <c r="E38" s="51" t="s">
        <v>78</v>
      </c>
      <c r="F38" s="51" t="s">
        <v>182</v>
      </c>
      <c r="G38" s="51" t="s">
        <v>550</v>
      </c>
      <c r="H38" s="52">
        <f ca="1">IFERROR(__xludf.DUMMYFUNCTION("MAX(IF(REGEXMATCH(E38,""^\d{1},\d{2}$""),VALUE(E38),0),IF(REGEXMATCH(F38,""^\d{1},\d{2}$""),VALUE(F38),0),IF(REGEXMATCH(G38,""^\d{1},\d{2}$""),VALUE(G38),0))"),3.64)</f>
        <v>3.64</v>
      </c>
      <c r="I38" s="21"/>
      <c r="J38" s="22"/>
    </row>
    <row r="39" spans="1:10" ht="13.2" x14ac:dyDescent="0.25">
      <c r="A39" s="17"/>
      <c r="B39" s="28">
        <v>3</v>
      </c>
      <c r="C39" s="29" t="s">
        <v>551</v>
      </c>
      <c r="D39" s="44" t="s">
        <v>18</v>
      </c>
      <c r="E39" s="51" t="s">
        <v>78</v>
      </c>
      <c r="F39" s="51" t="s">
        <v>529</v>
      </c>
      <c r="G39" s="51" t="s">
        <v>529</v>
      </c>
      <c r="H39" s="52">
        <f ca="1">IFERROR(__xludf.DUMMYFUNCTION("MAX(IF(REGEXMATCH(E39,""^\d{1},\d{2}$""),VALUE(E39),0),IF(REGEXMATCH(F39,""^\d{1},\d{2}$""),VALUE(F39),0),IF(REGEXMATCH(G39,""^\d{1},\d{2}$""),VALUE(G39),0))"),3.57)</f>
        <v>3.57</v>
      </c>
      <c r="I39" s="21"/>
      <c r="J39" s="22"/>
    </row>
    <row r="40" spans="1:10" ht="13.2" x14ac:dyDescent="0.25">
      <c r="A40" s="17"/>
      <c r="B40" s="28">
        <v>4</v>
      </c>
      <c r="C40" s="29" t="s">
        <v>552</v>
      </c>
      <c r="D40" s="44" t="s">
        <v>18</v>
      </c>
      <c r="E40" s="51" t="s">
        <v>515</v>
      </c>
      <c r="F40" s="51" t="s">
        <v>517</v>
      </c>
      <c r="G40" s="51" t="s">
        <v>173</v>
      </c>
      <c r="H40" s="52">
        <f ca="1">IFERROR(__xludf.DUMMYFUNCTION("MAX(IF(REGEXMATCH(E40,""^\d{1},\d{2}$""),VALUE(E40),0),IF(REGEXMATCH(F40,""^\d{1},\d{2}$""),VALUE(F40),0),IF(REGEXMATCH(G40,""^\d{1},\d{2}$""),VALUE(G40),0))"),4.23)</f>
        <v>4.2300000000000004</v>
      </c>
      <c r="I40" s="21"/>
      <c r="J40" s="22"/>
    </row>
    <row r="41" spans="1:10" ht="13.2" x14ac:dyDescent="0.25">
      <c r="A41" s="17"/>
      <c r="B41" s="28">
        <v>5</v>
      </c>
      <c r="C41" s="29"/>
      <c r="D41" s="44"/>
      <c r="E41" s="51"/>
      <c r="F41" s="51"/>
      <c r="G41" s="51"/>
      <c r="H41" s="52">
        <f ca="1">IFERROR(__xludf.DUMMYFUNCTION("MAX(IF(REGEXMATCH(E41,""^\d{1},\d{2}$""),VALUE(E41),0),IF(REGEXMATCH(F41,""^\d{1},\d{2}$""),VALUE(F41),0),IF(REGEXMATCH(G41,""^\d{1},\d{2}$""),VALUE(G41),0))"),0)</f>
        <v>0</v>
      </c>
      <c r="I41" s="21"/>
      <c r="J41" s="22"/>
    </row>
    <row r="42" spans="1:10" ht="13.2" x14ac:dyDescent="0.25">
      <c r="A42" s="17"/>
      <c r="B42" s="53" t="s">
        <v>22</v>
      </c>
      <c r="C42" s="36"/>
      <c r="D42" s="37" t="s">
        <v>177</v>
      </c>
      <c r="E42" s="38"/>
      <c r="F42" s="38"/>
      <c r="G42" s="38"/>
      <c r="H42" s="55"/>
      <c r="I42" s="21"/>
      <c r="J42" s="22"/>
    </row>
    <row r="43" spans="1:10" ht="13.2" x14ac:dyDescent="0.25">
      <c r="A43" s="17"/>
      <c r="B43" s="17"/>
      <c r="D43" s="18"/>
      <c r="E43" s="18"/>
      <c r="F43" s="18"/>
      <c r="G43" s="18"/>
      <c r="H43" s="49"/>
      <c r="I43" s="21"/>
      <c r="J43" s="22"/>
    </row>
    <row r="44" spans="1:10" ht="15.6" x14ac:dyDescent="0.25">
      <c r="A44" s="23">
        <v>6</v>
      </c>
      <c r="B44" s="72" t="s">
        <v>553</v>
      </c>
      <c r="C44" s="73"/>
      <c r="D44" s="73"/>
      <c r="E44" s="73"/>
      <c r="F44" s="73"/>
      <c r="G44" s="73"/>
      <c r="H44" s="50"/>
      <c r="I44" s="25">
        <f ca="1">IF(COUNTIFS(H45:H49,"&gt;0") &gt; 3, FLOOR((SUM(H45:H49)-MIN(H45,H46,H47,H48,H49))/4,0.0001), )</f>
        <v>3.4775</v>
      </c>
      <c r="J44" s="26">
        <f ca="1">IF(I44=0,"",RANK(I44,$I$4:$I$51,))</f>
        <v>6</v>
      </c>
    </row>
    <row r="45" spans="1:10" ht="13.2" x14ac:dyDescent="0.25">
      <c r="A45" s="17"/>
      <c r="B45" s="28">
        <v>1</v>
      </c>
      <c r="C45" s="29" t="s">
        <v>554</v>
      </c>
      <c r="D45" s="44" t="s">
        <v>18</v>
      </c>
      <c r="E45" s="51" t="s">
        <v>555</v>
      </c>
      <c r="F45" s="51" t="s">
        <v>556</v>
      </c>
      <c r="G45" s="51" t="s">
        <v>557</v>
      </c>
      <c r="H45" s="52">
        <f ca="1">IFERROR(__xludf.DUMMYFUNCTION("MAX(IF(REGEXMATCH(E45,""^\d{1},\d{2}$""),VALUE(E45),0),IF(REGEXMATCH(F45,""^\d{1},\d{2}$""),VALUE(F45),0),IF(REGEXMATCH(G45,""^\d{1},\d{2}$""),VALUE(G45),0))"),3.56)</f>
        <v>3.56</v>
      </c>
      <c r="I45" s="21"/>
      <c r="J45" s="22"/>
    </row>
    <row r="46" spans="1:10" ht="13.2" x14ac:dyDescent="0.25">
      <c r="A46" s="17"/>
      <c r="B46" s="28">
        <v>2</v>
      </c>
      <c r="C46" s="29" t="s">
        <v>558</v>
      </c>
      <c r="D46" s="44" t="s">
        <v>26</v>
      </c>
      <c r="E46" s="51" t="s">
        <v>559</v>
      </c>
      <c r="F46" s="51" t="s">
        <v>529</v>
      </c>
      <c r="G46" s="51" t="s">
        <v>559</v>
      </c>
      <c r="H46" s="52">
        <f ca="1">IFERROR(__xludf.DUMMYFUNCTION("MAX(IF(REGEXMATCH(E46,""^\d{1},\d{2}$""),VALUE(E46),0),IF(REGEXMATCH(F46,""^\d{1},\d{2}$""),VALUE(F46),0),IF(REGEXMATCH(G46,""^\d{1},\d{2}$""),VALUE(G46),0))"),3.66)</f>
        <v>3.66</v>
      </c>
      <c r="I46" s="21"/>
      <c r="J46" s="22"/>
    </row>
    <row r="47" spans="1:10" ht="13.2" x14ac:dyDescent="0.25">
      <c r="A47" s="17"/>
      <c r="B47" s="28">
        <v>3</v>
      </c>
      <c r="C47" s="29" t="s">
        <v>560</v>
      </c>
      <c r="D47" s="44" t="s">
        <v>18</v>
      </c>
      <c r="E47" s="51" t="s">
        <v>561</v>
      </c>
      <c r="F47" s="51" t="s">
        <v>562</v>
      </c>
      <c r="G47" s="51" t="s">
        <v>563</v>
      </c>
      <c r="H47" s="52">
        <f ca="1">IFERROR(__xludf.DUMMYFUNCTION("MAX(IF(REGEXMATCH(E47,""^\d{1},\d{2}$""),VALUE(E47),0),IF(REGEXMATCH(F47,""^\d{1},\d{2}$""),VALUE(F47),0),IF(REGEXMATCH(G47,""^\d{1},\d{2}$""),VALUE(G47),0))"),3.08)</f>
        <v>3.08</v>
      </c>
      <c r="I47" s="21"/>
      <c r="J47" s="22"/>
    </row>
    <row r="48" spans="1:10" ht="13.2" x14ac:dyDescent="0.25">
      <c r="A48" s="17"/>
      <c r="B48" s="28">
        <v>4</v>
      </c>
      <c r="C48" s="29" t="s">
        <v>564</v>
      </c>
      <c r="D48" s="44" t="s">
        <v>15</v>
      </c>
      <c r="E48" s="51" t="s">
        <v>78</v>
      </c>
      <c r="F48" s="51" t="s">
        <v>565</v>
      </c>
      <c r="G48" s="51" t="s">
        <v>566</v>
      </c>
      <c r="H48" s="52">
        <f ca="1">IFERROR(__xludf.DUMMYFUNCTION("MAX(IF(REGEXMATCH(E48,""^\d{1},\d{2}$""),VALUE(E48),0),IF(REGEXMATCH(F48,""^\d{1},\d{2}$""),VALUE(F48),0),IF(REGEXMATCH(G48,""^\d{1},\d{2}$""),VALUE(G48),0))"),2.83)</f>
        <v>2.83</v>
      </c>
      <c r="I48" s="21"/>
      <c r="J48" s="22"/>
    </row>
    <row r="49" spans="1:10" ht="13.2" x14ac:dyDescent="0.25">
      <c r="A49" s="17"/>
      <c r="B49" s="28">
        <v>5</v>
      </c>
      <c r="C49" s="29" t="s">
        <v>567</v>
      </c>
      <c r="D49" s="44" t="s">
        <v>15</v>
      </c>
      <c r="E49" s="51" t="s">
        <v>568</v>
      </c>
      <c r="F49" s="51" t="s">
        <v>569</v>
      </c>
      <c r="G49" s="51" t="s">
        <v>569</v>
      </c>
      <c r="H49" s="52">
        <f ca="1">IFERROR(__xludf.DUMMYFUNCTION("MAX(IF(REGEXMATCH(E49,""^\d{1},\d{2}$""),VALUE(E49),0),IF(REGEXMATCH(F49,""^\d{1},\d{2}$""),VALUE(F49),0),IF(REGEXMATCH(G49,""^\d{1},\d{2}$""),VALUE(G49),0))"),3.61)</f>
        <v>3.61</v>
      </c>
      <c r="I49" s="21"/>
      <c r="J49" s="22"/>
    </row>
    <row r="50" spans="1:10" ht="13.2" x14ac:dyDescent="0.25">
      <c r="A50" s="17"/>
      <c r="B50" s="53" t="s">
        <v>22</v>
      </c>
      <c r="C50" s="36"/>
      <c r="D50" s="37" t="s">
        <v>139</v>
      </c>
      <c r="E50" s="38"/>
      <c r="F50" s="38"/>
      <c r="G50" s="38"/>
      <c r="H50" s="55"/>
      <c r="I50" s="21"/>
      <c r="J50" s="22"/>
    </row>
    <row r="51" spans="1:10" ht="13.2" x14ac:dyDescent="0.25">
      <c r="A51" s="17"/>
      <c r="B51" s="17"/>
      <c r="D51" s="18"/>
      <c r="E51" s="18"/>
      <c r="F51" s="18"/>
      <c r="G51" s="18"/>
      <c r="H51" s="49"/>
      <c r="I51" s="21"/>
      <c r="J51" s="22"/>
    </row>
    <row r="52" spans="1:10" ht="13.2" x14ac:dyDescent="0.25">
      <c r="A52" s="17"/>
      <c r="B52" s="17"/>
      <c r="D52" s="18"/>
      <c r="E52" s="18"/>
      <c r="F52" s="18"/>
      <c r="G52" s="18"/>
      <c r="H52" s="49"/>
      <c r="I52" s="21"/>
      <c r="J52" s="22"/>
    </row>
    <row r="53" spans="1:10" ht="13.2" x14ac:dyDescent="0.25">
      <c r="A53" s="17"/>
      <c r="B53" s="17"/>
      <c r="D53" s="18"/>
      <c r="E53" s="18"/>
      <c r="F53" s="18"/>
      <c r="G53" s="18"/>
      <c r="H53" s="49"/>
      <c r="I53" s="21"/>
      <c r="J53" s="22"/>
    </row>
    <row r="54" spans="1:10" ht="13.2" x14ac:dyDescent="0.25">
      <c r="A54" s="17"/>
      <c r="B54" s="17"/>
      <c r="D54" s="18"/>
      <c r="E54" s="18"/>
      <c r="F54" s="18"/>
      <c r="G54" s="18"/>
      <c r="H54" s="49"/>
      <c r="I54" s="21"/>
      <c r="J54" s="22"/>
    </row>
    <row r="55" spans="1:10" ht="13.2" x14ac:dyDescent="0.25">
      <c r="A55" s="17"/>
      <c r="B55" s="17"/>
      <c r="D55" s="18"/>
      <c r="E55" s="18"/>
      <c r="F55" s="18"/>
      <c r="G55" s="18"/>
      <c r="H55" s="49"/>
      <c r="I55" s="21"/>
      <c r="J55" s="22"/>
    </row>
    <row r="56" spans="1:10" ht="13.2" x14ac:dyDescent="0.25">
      <c r="A56" s="17"/>
      <c r="B56" s="17"/>
      <c r="D56" s="18"/>
      <c r="E56" s="18"/>
      <c r="F56" s="18"/>
      <c r="G56" s="18"/>
      <c r="H56" s="49"/>
      <c r="I56" s="21"/>
      <c r="J56" s="22"/>
    </row>
    <row r="57" spans="1:10" ht="13.2" x14ac:dyDescent="0.25">
      <c r="A57" s="17"/>
      <c r="B57" s="17"/>
      <c r="D57" s="18"/>
      <c r="E57" s="18"/>
      <c r="F57" s="18"/>
      <c r="G57" s="18"/>
      <c r="H57" s="49"/>
      <c r="I57" s="21"/>
      <c r="J57" s="22"/>
    </row>
    <row r="58" spans="1:10" ht="13.2" x14ac:dyDescent="0.25">
      <c r="A58" s="17"/>
      <c r="B58" s="17"/>
      <c r="D58" s="18"/>
      <c r="E58" s="18"/>
      <c r="F58" s="18"/>
      <c r="G58" s="18"/>
      <c r="H58" s="49"/>
      <c r="I58" s="21"/>
      <c r="J58" s="22"/>
    </row>
    <row r="59" spans="1:10" ht="13.2" x14ac:dyDescent="0.25">
      <c r="A59" s="17"/>
      <c r="B59" s="17"/>
      <c r="D59" s="18"/>
      <c r="E59" s="18"/>
      <c r="F59" s="18"/>
      <c r="G59" s="18"/>
      <c r="H59" s="49"/>
      <c r="I59" s="21"/>
      <c r="J59" s="22"/>
    </row>
    <row r="60" spans="1:10" ht="13.2" x14ac:dyDescent="0.25">
      <c r="A60" s="17"/>
      <c r="B60" s="17"/>
      <c r="D60" s="18"/>
      <c r="E60" s="18"/>
      <c r="F60" s="18"/>
      <c r="G60" s="18"/>
      <c r="H60" s="49"/>
      <c r="I60" s="21"/>
      <c r="J60" s="22"/>
    </row>
    <row r="61" spans="1:10" ht="13.2" x14ac:dyDescent="0.25">
      <c r="A61" s="17"/>
      <c r="B61" s="17"/>
      <c r="D61" s="18"/>
      <c r="E61" s="18"/>
      <c r="F61" s="18"/>
      <c r="G61" s="18"/>
      <c r="H61" s="49"/>
      <c r="I61" s="21"/>
      <c r="J61" s="22"/>
    </row>
    <row r="62" spans="1:10" ht="13.2" x14ac:dyDescent="0.25">
      <c r="A62" s="17"/>
      <c r="B62" s="17"/>
      <c r="D62" s="18"/>
      <c r="E62" s="18"/>
      <c r="F62" s="18"/>
      <c r="G62" s="18"/>
      <c r="H62" s="49"/>
      <c r="I62" s="21"/>
      <c r="J62" s="22"/>
    </row>
    <row r="63" spans="1:10" ht="13.2" x14ac:dyDescent="0.25">
      <c r="A63" s="17"/>
      <c r="B63" s="17"/>
      <c r="D63" s="18"/>
      <c r="E63" s="18"/>
      <c r="F63" s="18"/>
      <c r="G63" s="18"/>
      <c r="H63" s="49"/>
      <c r="I63" s="21"/>
      <c r="J63" s="22"/>
    </row>
    <row r="64" spans="1:10" ht="13.2" x14ac:dyDescent="0.25">
      <c r="A64" s="17"/>
      <c r="B64" s="17"/>
      <c r="D64" s="18"/>
      <c r="E64" s="18"/>
      <c r="F64" s="18"/>
      <c r="G64" s="18"/>
      <c r="H64" s="49"/>
      <c r="I64" s="21"/>
      <c r="J64" s="22"/>
    </row>
    <row r="65" spans="1:10" ht="13.2" x14ac:dyDescent="0.25">
      <c r="A65" s="17"/>
      <c r="B65" s="17"/>
      <c r="D65" s="18"/>
      <c r="E65" s="18"/>
      <c r="F65" s="18"/>
      <c r="G65" s="18"/>
      <c r="H65" s="49"/>
      <c r="I65" s="21"/>
      <c r="J65" s="22"/>
    </row>
    <row r="66" spans="1:10" ht="13.2" x14ac:dyDescent="0.25">
      <c r="A66" s="17"/>
      <c r="B66" s="17"/>
      <c r="D66" s="18"/>
      <c r="E66" s="18"/>
      <c r="F66" s="18"/>
      <c r="G66" s="18"/>
      <c r="H66" s="49"/>
      <c r="I66" s="21"/>
      <c r="J66" s="22"/>
    </row>
    <row r="67" spans="1:10" ht="13.2" x14ac:dyDescent="0.25">
      <c r="A67" s="17"/>
      <c r="B67" s="17"/>
      <c r="D67" s="18"/>
      <c r="E67" s="18"/>
      <c r="F67" s="18"/>
      <c r="G67" s="18"/>
      <c r="H67" s="49"/>
      <c r="I67" s="21"/>
      <c r="J67" s="22"/>
    </row>
    <row r="68" spans="1:10" ht="13.2" x14ac:dyDescent="0.25">
      <c r="A68" s="17"/>
      <c r="B68" s="17"/>
      <c r="D68" s="18"/>
      <c r="E68" s="18"/>
      <c r="F68" s="18"/>
      <c r="G68" s="18"/>
      <c r="H68" s="49"/>
      <c r="I68" s="21"/>
      <c r="J68" s="22"/>
    </row>
    <row r="69" spans="1:10" ht="13.2" x14ac:dyDescent="0.25">
      <c r="A69" s="17"/>
      <c r="B69" s="17"/>
      <c r="D69" s="18"/>
      <c r="E69" s="18"/>
      <c r="F69" s="18"/>
      <c r="G69" s="18"/>
      <c r="H69" s="49"/>
      <c r="I69" s="21"/>
      <c r="J69" s="22"/>
    </row>
    <row r="70" spans="1:10" ht="13.2" x14ac:dyDescent="0.25">
      <c r="A70" s="17"/>
      <c r="B70" s="17"/>
      <c r="D70" s="18"/>
      <c r="E70" s="18"/>
      <c r="F70" s="18"/>
      <c r="G70" s="18"/>
      <c r="H70" s="49"/>
      <c r="I70" s="21"/>
      <c r="J70" s="22"/>
    </row>
    <row r="71" spans="1:10" ht="13.2" x14ac:dyDescent="0.25">
      <c r="A71" s="17"/>
      <c r="B71" s="17"/>
      <c r="D71" s="18"/>
      <c r="E71" s="18"/>
      <c r="F71" s="18"/>
      <c r="G71" s="18"/>
      <c r="H71" s="49"/>
      <c r="I71" s="21"/>
      <c r="J71" s="22"/>
    </row>
    <row r="72" spans="1:10" ht="13.2" x14ac:dyDescent="0.25">
      <c r="A72" s="17"/>
      <c r="B72" s="17"/>
      <c r="D72" s="18"/>
      <c r="E72" s="18"/>
      <c r="F72" s="18"/>
      <c r="G72" s="18"/>
      <c r="H72" s="49"/>
      <c r="I72" s="21"/>
      <c r="J72" s="22"/>
    </row>
    <row r="73" spans="1:10" ht="13.2" x14ac:dyDescent="0.25">
      <c r="A73" s="17"/>
      <c r="B73" s="17"/>
      <c r="D73" s="18"/>
      <c r="E73" s="18"/>
      <c r="F73" s="18"/>
      <c r="G73" s="18"/>
      <c r="H73" s="49"/>
      <c r="I73" s="21"/>
      <c r="J73" s="22"/>
    </row>
    <row r="74" spans="1:10" ht="13.2" x14ac:dyDescent="0.25">
      <c r="A74" s="17"/>
      <c r="B74" s="17"/>
      <c r="D74" s="18"/>
      <c r="E74" s="18"/>
      <c r="F74" s="18"/>
      <c r="G74" s="18"/>
      <c r="H74" s="49"/>
      <c r="I74" s="21"/>
      <c r="J74" s="22"/>
    </row>
    <row r="75" spans="1:10" ht="13.2" x14ac:dyDescent="0.25">
      <c r="A75" s="17"/>
      <c r="B75" s="17"/>
      <c r="D75" s="18"/>
      <c r="E75" s="18"/>
      <c r="F75" s="18"/>
      <c r="G75" s="18"/>
      <c r="H75" s="49"/>
      <c r="I75" s="21"/>
      <c r="J75" s="22"/>
    </row>
    <row r="76" spans="1:10" ht="13.2" x14ac:dyDescent="0.25">
      <c r="A76" s="17"/>
      <c r="B76" s="17"/>
      <c r="D76" s="18"/>
      <c r="E76" s="18"/>
      <c r="F76" s="18"/>
      <c r="G76" s="18"/>
      <c r="H76" s="49"/>
      <c r="I76" s="21"/>
      <c r="J76" s="22"/>
    </row>
    <row r="77" spans="1:10" ht="13.2" x14ac:dyDescent="0.25">
      <c r="A77" s="17"/>
      <c r="B77" s="17"/>
      <c r="D77" s="18"/>
      <c r="E77" s="18"/>
      <c r="F77" s="18"/>
      <c r="G77" s="18"/>
      <c r="H77" s="49"/>
      <c r="I77" s="21"/>
      <c r="J77" s="22"/>
    </row>
    <row r="78" spans="1:10" ht="13.2" x14ac:dyDescent="0.25">
      <c r="A78" s="17"/>
      <c r="B78" s="17"/>
      <c r="D78" s="18"/>
      <c r="E78" s="18"/>
      <c r="F78" s="18"/>
      <c r="G78" s="18"/>
      <c r="H78" s="49"/>
      <c r="I78" s="21"/>
      <c r="J78" s="22"/>
    </row>
    <row r="79" spans="1:10" ht="13.2" x14ac:dyDescent="0.25">
      <c r="A79" s="17"/>
      <c r="B79" s="17"/>
      <c r="D79" s="18"/>
      <c r="E79" s="18"/>
      <c r="F79" s="18"/>
      <c r="G79" s="18"/>
      <c r="H79" s="49"/>
      <c r="I79" s="21"/>
      <c r="J79" s="22"/>
    </row>
    <row r="80" spans="1:10" ht="13.2" x14ac:dyDescent="0.25">
      <c r="A80" s="17"/>
      <c r="B80" s="17"/>
      <c r="D80" s="18"/>
      <c r="E80" s="18"/>
      <c r="F80" s="18"/>
      <c r="G80" s="18"/>
      <c r="H80" s="49"/>
      <c r="I80" s="21"/>
      <c r="J80" s="22"/>
    </row>
    <row r="81" spans="1:10" ht="13.2" x14ac:dyDescent="0.25">
      <c r="A81" s="17"/>
      <c r="B81" s="17"/>
      <c r="D81" s="18"/>
      <c r="E81" s="18"/>
      <c r="F81" s="18"/>
      <c r="G81" s="18"/>
      <c r="H81" s="49"/>
      <c r="I81" s="21"/>
      <c r="J81" s="22"/>
    </row>
    <row r="82" spans="1:10" ht="13.2" x14ac:dyDescent="0.25">
      <c r="A82" s="17"/>
      <c r="B82" s="17"/>
      <c r="D82" s="18"/>
      <c r="E82" s="18"/>
      <c r="F82" s="18"/>
      <c r="G82" s="18"/>
      <c r="H82" s="49"/>
      <c r="I82" s="21"/>
      <c r="J82" s="22"/>
    </row>
    <row r="83" spans="1:10" ht="13.2" x14ac:dyDescent="0.25">
      <c r="A83" s="17"/>
      <c r="B83" s="17"/>
      <c r="D83" s="18"/>
      <c r="E83" s="18"/>
      <c r="F83" s="18"/>
      <c r="G83" s="18"/>
      <c r="H83" s="49"/>
      <c r="I83" s="21"/>
      <c r="J83" s="22"/>
    </row>
    <row r="84" spans="1:10" ht="13.2" x14ac:dyDescent="0.25">
      <c r="A84" s="17"/>
      <c r="B84" s="17"/>
      <c r="D84" s="18"/>
      <c r="E84" s="18"/>
      <c r="F84" s="18"/>
      <c r="G84" s="18"/>
      <c r="H84" s="49"/>
      <c r="I84" s="21"/>
      <c r="J84" s="22"/>
    </row>
    <row r="85" spans="1:10" ht="13.2" x14ac:dyDescent="0.25">
      <c r="A85" s="17"/>
      <c r="B85" s="17"/>
      <c r="D85" s="18"/>
      <c r="E85" s="18"/>
      <c r="F85" s="18"/>
      <c r="G85" s="18"/>
      <c r="H85" s="49"/>
      <c r="I85" s="21"/>
      <c r="J85" s="22"/>
    </row>
    <row r="86" spans="1:10" ht="13.2" x14ac:dyDescent="0.25">
      <c r="A86" s="17"/>
      <c r="B86" s="17"/>
      <c r="D86" s="18"/>
      <c r="E86" s="18"/>
      <c r="F86" s="18"/>
      <c r="G86" s="18"/>
      <c r="H86" s="49"/>
      <c r="I86" s="21"/>
      <c r="J86" s="22"/>
    </row>
    <row r="87" spans="1:10" ht="13.2" x14ac:dyDescent="0.25">
      <c r="A87" s="17"/>
      <c r="B87" s="17"/>
      <c r="D87" s="18"/>
      <c r="E87" s="18"/>
      <c r="F87" s="18"/>
      <c r="G87" s="18"/>
      <c r="H87" s="49"/>
      <c r="I87" s="21"/>
      <c r="J87" s="22"/>
    </row>
    <row r="88" spans="1:10" ht="13.2" x14ac:dyDescent="0.25">
      <c r="A88" s="17"/>
      <c r="B88" s="17"/>
      <c r="D88" s="18"/>
      <c r="E88" s="18"/>
      <c r="F88" s="18"/>
      <c r="G88" s="18"/>
      <c r="H88" s="49"/>
      <c r="I88" s="21"/>
      <c r="J88" s="22"/>
    </row>
    <row r="89" spans="1:10" ht="13.2" x14ac:dyDescent="0.25">
      <c r="A89" s="17"/>
      <c r="B89" s="17"/>
      <c r="D89" s="18"/>
      <c r="E89" s="18"/>
      <c r="F89" s="18"/>
      <c r="G89" s="18"/>
      <c r="H89" s="49"/>
      <c r="I89" s="21"/>
      <c r="J89" s="22"/>
    </row>
    <row r="90" spans="1:10" ht="13.2" x14ac:dyDescent="0.25">
      <c r="A90" s="17"/>
      <c r="B90" s="17"/>
      <c r="D90" s="18"/>
      <c r="E90" s="18"/>
      <c r="F90" s="18"/>
      <c r="G90" s="18"/>
      <c r="H90" s="49"/>
      <c r="I90" s="21"/>
      <c r="J90" s="22"/>
    </row>
    <row r="91" spans="1:10" ht="13.2" x14ac:dyDescent="0.25">
      <c r="A91" s="17"/>
      <c r="B91" s="17"/>
      <c r="D91" s="18"/>
      <c r="E91" s="18"/>
      <c r="F91" s="18"/>
      <c r="G91" s="18"/>
      <c r="H91" s="49"/>
      <c r="I91" s="21"/>
      <c r="J91" s="22"/>
    </row>
    <row r="92" spans="1:10" ht="13.2" x14ac:dyDescent="0.25">
      <c r="A92" s="17"/>
      <c r="B92" s="17"/>
      <c r="D92" s="18"/>
      <c r="E92" s="18"/>
      <c r="F92" s="18"/>
      <c r="G92" s="18"/>
      <c r="H92" s="49"/>
      <c r="I92" s="21"/>
      <c r="J92" s="22"/>
    </row>
    <row r="93" spans="1:10" ht="13.2" x14ac:dyDescent="0.25">
      <c r="A93" s="17"/>
      <c r="B93" s="17"/>
      <c r="D93" s="18"/>
      <c r="E93" s="18"/>
      <c r="F93" s="18"/>
      <c r="G93" s="18"/>
      <c r="H93" s="49"/>
      <c r="I93" s="21"/>
      <c r="J93" s="22"/>
    </row>
    <row r="94" spans="1:10" ht="13.2" x14ac:dyDescent="0.25">
      <c r="A94" s="17"/>
      <c r="B94" s="17"/>
      <c r="D94" s="18"/>
      <c r="E94" s="18"/>
      <c r="F94" s="18"/>
      <c r="G94" s="18"/>
      <c r="H94" s="49"/>
      <c r="I94" s="21"/>
      <c r="J94" s="22"/>
    </row>
    <row r="95" spans="1:10" ht="13.2" x14ac:dyDescent="0.25">
      <c r="A95" s="17"/>
      <c r="B95" s="17"/>
      <c r="D95" s="18"/>
      <c r="E95" s="18"/>
      <c r="F95" s="18"/>
      <c r="G95" s="18"/>
      <c r="H95" s="49"/>
      <c r="I95" s="21"/>
      <c r="J95" s="22"/>
    </row>
    <row r="96" spans="1:10" ht="13.2" x14ac:dyDescent="0.25">
      <c r="A96" s="17"/>
      <c r="B96" s="17"/>
      <c r="D96" s="18"/>
      <c r="E96" s="18"/>
      <c r="F96" s="18"/>
      <c r="G96" s="18"/>
      <c r="H96" s="49"/>
      <c r="I96" s="21"/>
      <c r="J96" s="22"/>
    </row>
    <row r="97" spans="1:10" ht="13.2" x14ac:dyDescent="0.25">
      <c r="A97" s="17"/>
      <c r="B97" s="17"/>
      <c r="D97" s="18"/>
      <c r="E97" s="18"/>
      <c r="F97" s="18"/>
      <c r="G97" s="18"/>
      <c r="H97" s="49"/>
      <c r="I97" s="21"/>
      <c r="J97" s="22"/>
    </row>
    <row r="98" spans="1:10" ht="13.2" x14ac:dyDescent="0.25">
      <c r="A98" s="17"/>
      <c r="B98" s="17"/>
      <c r="D98" s="18"/>
      <c r="E98" s="18"/>
      <c r="F98" s="18"/>
      <c r="G98" s="18"/>
      <c r="H98" s="49"/>
      <c r="I98" s="21"/>
      <c r="J98" s="22"/>
    </row>
    <row r="99" spans="1:10" ht="13.2" x14ac:dyDescent="0.25">
      <c r="A99" s="17"/>
      <c r="B99" s="17"/>
      <c r="D99" s="18"/>
      <c r="E99" s="18"/>
      <c r="F99" s="18"/>
      <c r="G99" s="18"/>
      <c r="H99" s="49"/>
      <c r="I99" s="21"/>
      <c r="J99" s="22"/>
    </row>
    <row r="100" spans="1:10" ht="13.2" x14ac:dyDescent="0.25">
      <c r="A100" s="17"/>
      <c r="B100" s="17"/>
      <c r="D100" s="18"/>
      <c r="E100" s="18"/>
      <c r="F100" s="18"/>
      <c r="G100" s="18"/>
      <c r="H100" s="49"/>
      <c r="I100" s="21"/>
      <c r="J100" s="22"/>
    </row>
    <row r="101" spans="1:10" ht="13.2" x14ac:dyDescent="0.25">
      <c r="A101" s="17"/>
      <c r="B101" s="17"/>
      <c r="D101" s="18"/>
      <c r="E101" s="18"/>
      <c r="F101" s="18"/>
      <c r="G101" s="18"/>
      <c r="H101" s="49"/>
      <c r="I101" s="21"/>
      <c r="J101" s="22"/>
    </row>
    <row r="102" spans="1:10" ht="13.2" x14ac:dyDescent="0.25">
      <c r="A102" s="17"/>
      <c r="B102" s="17"/>
      <c r="D102" s="18"/>
      <c r="E102" s="18"/>
      <c r="F102" s="18"/>
      <c r="G102" s="18"/>
      <c r="H102" s="49"/>
      <c r="I102" s="21"/>
      <c r="J102" s="22"/>
    </row>
    <row r="103" spans="1:10" ht="13.2" x14ac:dyDescent="0.25">
      <c r="A103" s="17"/>
      <c r="B103" s="17"/>
      <c r="D103" s="18"/>
      <c r="E103" s="18"/>
      <c r="F103" s="18"/>
      <c r="G103" s="18"/>
      <c r="H103" s="49"/>
      <c r="I103" s="21"/>
      <c r="J103" s="22"/>
    </row>
    <row r="104" spans="1:10" ht="13.2" x14ac:dyDescent="0.25">
      <c r="A104" s="17"/>
      <c r="B104" s="17"/>
      <c r="D104" s="18"/>
      <c r="E104" s="18"/>
      <c r="F104" s="18"/>
      <c r="G104" s="18"/>
      <c r="H104" s="49"/>
      <c r="I104" s="21"/>
      <c r="J104" s="22"/>
    </row>
    <row r="105" spans="1:10" ht="13.2" x14ac:dyDescent="0.25">
      <c r="A105" s="17"/>
      <c r="B105" s="17"/>
      <c r="D105" s="18"/>
      <c r="E105" s="18"/>
      <c r="F105" s="18"/>
      <c r="G105" s="18"/>
      <c r="H105" s="49"/>
      <c r="I105" s="21"/>
      <c r="J105" s="22"/>
    </row>
    <row r="106" spans="1:10" ht="13.2" x14ac:dyDescent="0.25">
      <c r="A106" s="17"/>
      <c r="B106" s="17"/>
      <c r="D106" s="18"/>
      <c r="E106" s="18"/>
      <c r="F106" s="18"/>
      <c r="G106" s="18"/>
      <c r="H106" s="49"/>
      <c r="I106" s="21"/>
      <c r="J106" s="22"/>
    </row>
    <row r="107" spans="1:10" ht="13.2" x14ac:dyDescent="0.25">
      <c r="A107" s="17"/>
      <c r="B107" s="17"/>
      <c r="D107" s="18"/>
      <c r="E107" s="18"/>
      <c r="F107" s="18"/>
      <c r="G107" s="18"/>
      <c r="H107" s="49"/>
      <c r="I107" s="21"/>
      <c r="J107" s="22"/>
    </row>
    <row r="108" spans="1:10" ht="13.2" x14ac:dyDescent="0.25">
      <c r="A108" s="17"/>
      <c r="B108" s="17"/>
      <c r="D108" s="18"/>
      <c r="E108" s="18"/>
      <c r="F108" s="18"/>
      <c r="G108" s="18"/>
      <c r="H108" s="49"/>
      <c r="I108" s="21"/>
      <c r="J108" s="22"/>
    </row>
    <row r="109" spans="1:10" ht="13.2" x14ac:dyDescent="0.25">
      <c r="A109" s="17"/>
      <c r="B109" s="17"/>
      <c r="D109" s="18"/>
      <c r="E109" s="18"/>
      <c r="F109" s="18"/>
      <c r="G109" s="18"/>
      <c r="H109" s="49"/>
      <c r="I109" s="21"/>
      <c r="J109" s="22"/>
    </row>
    <row r="110" spans="1:10" ht="13.2" x14ac:dyDescent="0.25">
      <c r="A110" s="17"/>
      <c r="B110" s="17"/>
      <c r="D110" s="18"/>
      <c r="E110" s="18"/>
      <c r="F110" s="18"/>
      <c r="G110" s="18"/>
      <c r="H110" s="49"/>
      <c r="I110" s="21"/>
      <c r="J110" s="22"/>
    </row>
    <row r="111" spans="1:10" ht="13.2" x14ac:dyDescent="0.25">
      <c r="A111" s="17"/>
      <c r="B111" s="17"/>
      <c r="D111" s="18"/>
      <c r="E111" s="18"/>
      <c r="F111" s="18"/>
      <c r="G111" s="18"/>
      <c r="H111" s="49"/>
      <c r="I111" s="21"/>
      <c r="J111" s="22"/>
    </row>
    <row r="112" spans="1:10" ht="13.2" x14ac:dyDescent="0.25">
      <c r="A112" s="17"/>
      <c r="B112" s="17"/>
      <c r="D112" s="18"/>
      <c r="E112" s="18"/>
      <c r="F112" s="18"/>
      <c r="G112" s="18"/>
      <c r="H112" s="49"/>
      <c r="I112" s="21"/>
      <c r="J112" s="22"/>
    </row>
    <row r="113" spans="1:10" ht="13.2" x14ac:dyDescent="0.25">
      <c r="A113" s="17"/>
      <c r="B113" s="17"/>
      <c r="D113" s="18"/>
      <c r="E113" s="18"/>
      <c r="F113" s="18"/>
      <c r="G113" s="18"/>
      <c r="H113" s="49"/>
      <c r="I113" s="21"/>
      <c r="J113" s="22"/>
    </row>
    <row r="114" spans="1:10" ht="13.2" x14ac:dyDescent="0.25">
      <c r="A114" s="17"/>
      <c r="B114" s="17"/>
      <c r="D114" s="18"/>
      <c r="E114" s="18"/>
      <c r="F114" s="18"/>
      <c r="G114" s="18"/>
      <c r="H114" s="49"/>
      <c r="I114" s="21"/>
      <c r="J114" s="22"/>
    </row>
    <row r="115" spans="1:10" ht="13.2" x14ac:dyDescent="0.25">
      <c r="A115" s="17"/>
      <c r="B115" s="17"/>
      <c r="D115" s="18"/>
      <c r="E115" s="18"/>
      <c r="F115" s="18"/>
      <c r="G115" s="18"/>
      <c r="H115" s="49"/>
      <c r="I115" s="21"/>
      <c r="J115" s="22"/>
    </row>
    <row r="116" spans="1:10" ht="13.2" x14ac:dyDescent="0.25">
      <c r="A116" s="17"/>
      <c r="B116" s="17"/>
      <c r="D116" s="18"/>
      <c r="E116" s="18"/>
      <c r="F116" s="18"/>
      <c r="G116" s="18"/>
      <c r="H116" s="49"/>
      <c r="I116" s="21"/>
      <c r="J116" s="22"/>
    </row>
    <row r="117" spans="1:10" ht="13.2" x14ac:dyDescent="0.25">
      <c r="A117" s="17"/>
      <c r="B117" s="17"/>
      <c r="D117" s="18"/>
      <c r="E117" s="18"/>
      <c r="F117" s="18"/>
      <c r="G117" s="18"/>
      <c r="H117" s="49"/>
      <c r="I117" s="21"/>
      <c r="J117" s="22"/>
    </row>
    <row r="118" spans="1:10" ht="13.2" x14ac:dyDescent="0.25">
      <c r="A118" s="17"/>
      <c r="B118" s="17"/>
      <c r="D118" s="18"/>
      <c r="E118" s="18"/>
      <c r="F118" s="18"/>
      <c r="G118" s="18"/>
      <c r="H118" s="49"/>
      <c r="I118" s="21"/>
      <c r="J118" s="22"/>
    </row>
    <row r="119" spans="1:10" ht="13.2" x14ac:dyDescent="0.25">
      <c r="A119" s="17"/>
      <c r="B119" s="17"/>
      <c r="D119" s="18"/>
      <c r="E119" s="18"/>
      <c r="F119" s="18"/>
      <c r="G119" s="18"/>
      <c r="H119" s="49"/>
      <c r="I119" s="21"/>
      <c r="J119" s="22"/>
    </row>
    <row r="120" spans="1:10" ht="13.2" x14ac:dyDescent="0.25">
      <c r="A120" s="17"/>
      <c r="B120" s="17"/>
      <c r="D120" s="18"/>
      <c r="E120" s="18"/>
      <c r="F120" s="18"/>
      <c r="G120" s="18"/>
      <c r="H120" s="49"/>
      <c r="I120" s="21"/>
      <c r="J120" s="22"/>
    </row>
    <row r="121" spans="1:10" ht="13.2" x14ac:dyDescent="0.25">
      <c r="A121" s="17"/>
      <c r="B121" s="17"/>
      <c r="D121" s="18"/>
      <c r="E121" s="18"/>
      <c r="F121" s="18"/>
      <c r="G121" s="18"/>
      <c r="H121" s="49"/>
      <c r="I121" s="21"/>
      <c r="J121" s="22"/>
    </row>
    <row r="122" spans="1:10" ht="13.2" x14ac:dyDescent="0.25">
      <c r="A122" s="17"/>
      <c r="B122" s="17"/>
      <c r="D122" s="18"/>
      <c r="E122" s="18"/>
      <c r="F122" s="18"/>
      <c r="G122" s="18"/>
      <c r="H122" s="49"/>
      <c r="I122" s="21"/>
      <c r="J122" s="22"/>
    </row>
    <row r="123" spans="1:10" ht="13.2" x14ac:dyDescent="0.25">
      <c r="A123" s="17"/>
      <c r="B123" s="17"/>
      <c r="D123" s="18"/>
      <c r="E123" s="18"/>
      <c r="F123" s="18"/>
      <c r="G123" s="18"/>
      <c r="H123" s="49"/>
      <c r="I123" s="21"/>
      <c r="J123" s="22"/>
    </row>
    <row r="124" spans="1:10" ht="13.2" x14ac:dyDescent="0.25">
      <c r="A124" s="17"/>
      <c r="B124" s="17"/>
      <c r="D124" s="18"/>
      <c r="E124" s="18"/>
      <c r="F124" s="18"/>
      <c r="G124" s="18"/>
      <c r="H124" s="49"/>
      <c r="I124" s="21"/>
      <c r="J124" s="22"/>
    </row>
    <row r="125" spans="1:10" ht="13.2" x14ac:dyDescent="0.25">
      <c r="A125" s="17"/>
      <c r="B125" s="17"/>
      <c r="D125" s="18"/>
      <c r="E125" s="18"/>
      <c r="F125" s="18"/>
      <c r="G125" s="18"/>
      <c r="H125" s="49"/>
      <c r="I125" s="21"/>
      <c r="J125" s="22"/>
    </row>
    <row r="126" spans="1:10" ht="13.2" x14ac:dyDescent="0.25">
      <c r="A126" s="17"/>
      <c r="B126" s="17"/>
      <c r="D126" s="18"/>
      <c r="E126" s="18"/>
      <c r="F126" s="18"/>
      <c r="G126" s="18"/>
      <c r="H126" s="49"/>
      <c r="I126" s="21"/>
      <c r="J126" s="22"/>
    </row>
    <row r="127" spans="1:10" ht="13.2" x14ac:dyDescent="0.25">
      <c r="A127" s="17"/>
      <c r="B127" s="17"/>
      <c r="D127" s="18"/>
      <c r="E127" s="18"/>
      <c r="F127" s="18"/>
      <c r="G127" s="18"/>
      <c r="H127" s="49"/>
      <c r="I127" s="21"/>
      <c r="J127" s="22"/>
    </row>
    <row r="128" spans="1:10" ht="13.2" x14ac:dyDescent="0.25">
      <c r="A128" s="17"/>
      <c r="B128" s="17"/>
      <c r="D128" s="18"/>
      <c r="E128" s="18"/>
      <c r="F128" s="18"/>
      <c r="G128" s="18"/>
      <c r="H128" s="49"/>
      <c r="I128" s="21"/>
      <c r="J128" s="22"/>
    </row>
    <row r="129" spans="1:10" ht="13.2" x14ac:dyDescent="0.25">
      <c r="A129" s="17"/>
      <c r="B129" s="17"/>
      <c r="D129" s="18"/>
      <c r="E129" s="18"/>
      <c r="F129" s="18"/>
      <c r="G129" s="18"/>
      <c r="H129" s="49"/>
      <c r="I129" s="21"/>
      <c r="J129" s="22"/>
    </row>
    <row r="130" spans="1:10" ht="13.2" x14ac:dyDescent="0.25">
      <c r="A130" s="17"/>
      <c r="B130" s="17"/>
      <c r="D130" s="18"/>
      <c r="E130" s="18"/>
      <c r="F130" s="18"/>
      <c r="G130" s="18"/>
      <c r="H130" s="49"/>
      <c r="I130" s="21"/>
      <c r="J130" s="22"/>
    </row>
    <row r="131" spans="1:10" ht="13.2" x14ac:dyDescent="0.25">
      <c r="A131" s="17"/>
      <c r="B131" s="17"/>
      <c r="D131" s="18"/>
      <c r="E131" s="18"/>
      <c r="F131" s="18"/>
      <c r="G131" s="18"/>
      <c r="H131" s="49"/>
      <c r="I131" s="21"/>
      <c r="J131" s="22"/>
    </row>
    <row r="132" spans="1:10" ht="13.2" x14ac:dyDescent="0.25">
      <c r="A132" s="17"/>
      <c r="B132" s="17"/>
      <c r="D132" s="18"/>
      <c r="E132" s="18"/>
      <c r="F132" s="18"/>
      <c r="G132" s="18"/>
      <c r="H132" s="49"/>
      <c r="I132" s="21"/>
      <c r="J132" s="22"/>
    </row>
    <row r="133" spans="1:10" ht="13.2" x14ac:dyDescent="0.25">
      <c r="A133" s="17"/>
      <c r="B133" s="17"/>
      <c r="D133" s="18"/>
      <c r="E133" s="18"/>
      <c r="F133" s="18"/>
      <c r="G133" s="18"/>
      <c r="H133" s="49"/>
      <c r="I133" s="21"/>
      <c r="J133" s="22"/>
    </row>
    <row r="134" spans="1:10" ht="13.2" x14ac:dyDescent="0.25">
      <c r="A134" s="17"/>
      <c r="B134" s="17"/>
      <c r="D134" s="18"/>
      <c r="E134" s="18"/>
      <c r="F134" s="18"/>
      <c r="G134" s="18"/>
      <c r="H134" s="49"/>
      <c r="I134" s="21"/>
      <c r="J134" s="22"/>
    </row>
    <row r="135" spans="1:10" ht="13.2" x14ac:dyDescent="0.25">
      <c r="A135" s="17"/>
      <c r="B135" s="17"/>
      <c r="D135" s="18"/>
      <c r="E135" s="18"/>
      <c r="F135" s="18"/>
      <c r="G135" s="18"/>
      <c r="H135" s="49"/>
      <c r="I135" s="21"/>
      <c r="J135" s="22"/>
    </row>
    <row r="136" spans="1:10" ht="13.2" x14ac:dyDescent="0.25">
      <c r="A136" s="17"/>
      <c r="B136" s="17"/>
      <c r="D136" s="18"/>
      <c r="E136" s="18"/>
      <c r="F136" s="18"/>
      <c r="G136" s="18"/>
      <c r="H136" s="49"/>
      <c r="I136" s="21"/>
      <c r="J136" s="22"/>
    </row>
    <row r="137" spans="1:10" ht="13.2" x14ac:dyDescent="0.25">
      <c r="A137" s="17"/>
      <c r="B137" s="17"/>
      <c r="D137" s="18"/>
      <c r="E137" s="18"/>
      <c r="F137" s="18"/>
      <c r="G137" s="18"/>
      <c r="H137" s="49"/>
      <c r="I137" s="21"/>
      <c r="J137" s="22"/>
    </row>
    <row r="138" spans="1:10" ht="13.2" x14ac:dyDescent="0.25">
      <c r="A138" s="17"/>
      <c r="B138" s="17"/>
      <c r="D138" s="18"/>
      <c r="E138" s="18"/>
      <c r="F138" s="18"/>
      <c r="G138" s="18"/>
      <c r="H138" s="49"/>
      <c r="I138" s="21"/>
      <c r="J138" s="22"/>
    </row>
    <row r="139" spans="1:10" ht="13.2" x14ac:dyDescent="0.25">
      <c r="A139" s="17"/>
      <c r="B139" s="17"/>
      <c r="D139" s="18"/>
      <c r="E139" s="18"/>
      <c r="F139" s="18"/>
      <c r="G139" s="18"/>
      <c r="H139" s="49"/>
      <c r="I139" s="21"/>
      <c r="J139" s="22"/>
    </row>
    <row r="140" spans="1:10" ht="13.2" x14ac:dyDescent="0.25">
      <c r="A140" s="17"/>
      <c r="B140" s="17"/>
      <c r="D140" s="18"/>
      <c r="E140" s="18"/>
      <c r="F140" s="18"/>
      <c r="G140" s="18"/>
      <c r="H140" s="49"/>
      <c r="I140" s="21"/>
      <c r="J140" s="22"/>
    </row>
    <row r="141" spans="1:10" ht="13.2" x14ac:dyDescent="0.25">
      <c r="A141" s="17"/>
      <c r="B141" s="17"/>
      <c r="D141" s="18"/>
      <c r="E141" s="18"/>
      <c r="F141" s="18"/>
      <c r="G141" s="18"/>
      <c r="H141" s="49"/>
      <c r="I141" s="21"/>
      <c r="J141" s="22"/>
    </row>
    <row r="142" spans="1:10" ht="13.2" x14ac:dyDescent="0.25">
      <c r="A142" s="17"/>
      <c r="B142" s="17"/>
      <c r="D142" s="18"/>
      <c r="E142" s="18"/>
      <c r="F142" s="18"/>
      <c r="G142" s="18"/>
      <c r="H142" s="49"/>
      <c r="I142" s="21"/>
      <c r="J142" s="22"/>
    </row>
    <row r="143" spans="1:10" ht="13.2" x14ac:dyDescent="0.25">
      <c r="A143" s="17"/>
      <c r="B143" s="17"/>
      <c r="D143" s="18"/>
      <c r="E143" s="18"/>
      <c r="F143" s="18"/>
      <c r="G143" s="18"/>
      <c r="H143" s="49"/>
      <c r="I143" s="21"/>
      <c r="J143" s="22"/>
    </row>
    <row r="144" spans="1:10" ht="13.2" x14ac:dyDescent="0.25">
      <c r="A144" s="17"/>
      <c r="B144" s="17"/>
      <c r="D144" s="18"/>
      <c r="E144" s="18"/>
      <c r="F144" s="18"/>
      <c r="G144" s="18"/>
      <c r="H144" s="49"/>
      <c r="I144" s="21"/>
      <c r="J144" s="22"/>
    </row>
    <row r="145" spans="1:10" ht="13.2" x14ac:dyDescent="0.25">
      <c r="A145" s="17"/>
      <c r="B145" s="17"/>
      <c r="D145" s="18"/>
      <c r="E145" s="18"/>
      <c r="F145" s="18"/>
      <c r="G145" s="18"/>
      <c r="H145" s="49"/>
      <c r="I145" s="21"/>
      <c r="J145" s="22"/>
    </row>
    <row r="146" spans="1:10" ht="13.2" x14ac:dyDescent="0.25">
      <c r="A146" s="17"/>
      <c r="B146" s="17"/>
      <c r="D146" s="18"/>
      <c r="E146" s="18"/>
      <c r="F146" s="18"/>
      <c r="G146" s="18"/>
      <c r="H146" s="49"/>
      <c r="I146" s="21"/>
      <c r="J146" s="22"/>
    </row>
    <row r="147" spans="1:10" ht="13.2" x14ac:dyDescent="0.25">
      <c r="A147" s="17"/>
      <c r="B147" s="17"/>
      <c r="D147" s="18"/>
      <c r="E147" s="18"/>
      <c r="F147" s="18"/>
      <c r="G147" s="18"/>
      <c r="H147" s="49"/>
      <c r="I147" s="21"/>
      <c r="J147" s="22"/>
    </row>
    <row r="148" spans="1:10" ht="13.2" x14ac:dyDescent="0.25">
      <c r="A148" s="17"/>
      <c r="B148" s="17"/>
      <c r="D148" s="18"/>
      <c r="E148" s="18"/>
      <c r="F148" s="18"/>
      <c r="G148" s="18"/>
      <c r="H148" s="49"/>
      <c r="I148" s="21"/>
      <c r="J148" s="22"/>
    </row>
    <row r="149" spans="1:10" ht="13.2" x14ac:dyDescent="0.25">
      <c r="A149" s="17"/>
      <c r="B149" s="17"/>
      <c r="D149" s="18"/>
      <c r="E149" s="18"/>
      <c r="F149" s="18"/>
      <c r="G149" s="18"/>
      <c r="H149" s="49"/>
      <c r="I149" s="21"/>
      <c r="J149" s="22"/>
    </row>
    <row r="150" spans="1:10" ht="13.2" x14ac:dyDescent="0.25">
      <c r="A150" s="17"/>
      <c r="B150" s="17"/>
      <c r="D150" s="18"/>
      <c r="E150" s="18"/>
      <c r="F150" s="18"/>
      <c r="G150" s="18"/>
      <c r="H150" s="49"/>
      <c r="I150" s="21"/>
      <c r="J150" s="22"/>
    </row>
    <row r="151" spans="1:10" ht="13.2" x14ac:dyDescent="0.25">
      <c r="A151" s="17"/>
      <c r="B151" s="17"/>
      <c r="D151" s="18"/>
      <c r="E151" s="18"/>
      <c r="F151" s="18"/>
      <c r="G151" s="18"/>
      <c r="H151" s="49"/>
      <c r="I151" s="21"/>
      <c r="J151" s="22"/>
    </row>
    <row r="152" spans="1:10" ht="13.2" x14ac:dyDescent="0.25">
      <c r="A152" s="17"/>
      <c r="B152" s="17"/>
      <c r="D152" s="18"/>
      <c r="E152" s="18"/>
      <c r="F152" s="18"/>
      <c r="G152" s="18"/>
      <c r="H152" s="49"/>
      <c r="I152" s="21"/>
      <c r="J152" s="22"/>
    </row>
    <row r="153" spans="1:10" ht="13.2" x14ac:dyDescent="0.25">
      <c r="A153" s="17"/>
      <c r="B153" s="17"/>
      <c r="D153" s="18"/>
      <c r="E153" s="18"/>
      <c r="F153" s="18"/>
      <c r="G153" s="18"/>
      <c r="H153" s="49"/>
      <c r="I153" s="21"/>
      <c r="J153" s="22"/>
    </row>
    <row r="154" spans="1:10" ht="13.2" x14ac:dyDescent="0.25">
      <c r="A154" s="17"/>
      <c r="B154" s="17"/>
      <c r="D154" s="18"/>
      <c r="E154" s="18"/>
      <c r="F154" s="18"/>
      <c r="G154" s="18"/>
      <c r="H154" s="49"/>
      <c r="I154" s="21"/>
      <c r="J154" s="22"/>
    </row>
    <row r="155" spans="1:10" ht="13.2" x14ac:dyDescent="0.25">
      <c r="A155" s="17"/>
      <c r="B155" s="17"/>
      <c r="D155" s="18"/>
      <c r="E155" s="18"/>
      <c r="F155" s="18"/>
      <c r="G155" s="18"/>
      <c r="H155" s="49"/>
      <c r="I155" s="21"/>
      <c r="J155" s="22"/>
    </row>
    <row r="156" spans="1:10" ht="13.2" x14ac:dyDescent="0.25">
      <c r="A156" s="17"/>
      <c r="B156" s="17"/>
      <c r="D156" s="18"/>
      <c r="E156" s="18"/>
      <c r="F156" s="18"/>
      <c r="G156" s="18"/>
      <c r="H156" s="49"/>
      <c r="I156" s="21"/>
      <c r="J156" s="22"/>
    </row>
    <row r="157" spans="1:10" ht="13.2" x14ac:dyDescent="0.25">
      <c r="A157" s="17"/>
      <c r="B157" s="17"/>
      <c r="D157" s="18"/>
      <c r="E157" s="18"/>
      <c r="F157" s="18"/>
      <c r="G157" s="18"/>
      <c r="H157" s="49"/>
      <c r="I157" s="21"/>
      <c r="J157" s="22"/>
    </row>
    <row r="158" spans="1:10" ht="13.2" x14ac:dyDescent="0.25">
      <c r="A158" s="17"/>
      <c r="B158" s="17"/>
      <c r="D158" s="18"/>
      <c r="E158" s="18"/>
      <c r="F158" s="18"/>
      <c r="G158" s="18"/>
      <c r="H158" s="49"/>
      <c r="I158" s="21"/>
      <c r="J158" s="22"/>
    </row>
    <row r="159" spans="1:10" ht="13.2" x14ac:dyDescent="0.25">
      <c r="A159" s="17"/>
      <c r="B159" s="17"/>
      <c r="D159" s="18"/>
      <c r="E159" s="18"/>
      <c r="F159" s="18"/>
      <c r="G159" s="18"/>
      <c r="H159" s="49"/>
      <c r="I159" s="21"/>
      <c r="J159" s="22"/>
    </row>
    <row r="160" spans="1:10" ht="13.2" x14ac:dyDescent="0.25">
      <c r="A160" s="17"/>
      <c r="B160" s="17"/>
      <c r="D160" s="18"/>
      <c r="E160" s="18"/>
      <c r="F160" s="18"/>
      <c r="G160" s="18"/>
      <c r="H160" s="49"/>
      <c r="I160" s="21"/>
      <c r="J160" s="22"/>
    </row>
    <row r="161" spans="1:10" ht="13.2" x14ac:dyDescent="0.25">
      <c r="A161" s="17"/>
      <c r="B161" s="17"/>
      <c r="D161" s="18"/>
      <c r="E161" s="18"/>
      <c r="F161" s="18"/>
      <c r="G161" s="18"/>
      <c r="H161" s="49"/>
      <c r="I161" s="21"/>
      <c r="J161" s="22"/>
    </row>
    <row r="162" spans="1:10" ht="13.2" x14ac:dyDescent="0.25">
      <c r="A162" s="17"/>
      <c r="B162" s="17"/>
      <c r="D162" s="18"/>
      <c r="E162" s="18"/>
      <c r="F162" s="18"/>
      <c r="G162" s="18"/>
      <c r="H162" s="49"/>
      <c r="I162" s="21"/>
      <c r="J162" s="22"/>
    </row>
    <row r="163" spans="1:10" ht="13.2" x14ac:dyDescent="0.25">
      <c r="A163" s="17"/>
      <c r="B163" s="17"/>
      <c r="D163" s="18"/>
      <c r="E163" s="18"/>
      <c r="F163" s="18"/>
      <c r="G163" s="18"/>
      <c r="H163" s="49"/>
      <c r="I163" s="21"/>
      <c r="J163" s="22"/>
    </row>
    <row r="164" spans="1:10" ht="13.2" x14ac:dyDescent="0.25">
      <c r="A164" s="17"/>
      <c r="B164" s="17"/>
      <c r="D164" s="18"/>
      <c r="E164" s="18"/>
      <c r="F164" s="18"/>
      <c r="G164" s="18"/>
      <c r="H164" s="49"/>
      <c r="I164" s="21"/>
      <c r="J164" s="22"/>
    </row>
    <row r="165" spans="1:10" ht="13.2" x14ac:dyDescent="0.25">
      <c r="A165" s="17"/>
      <c r="B165" s="17"/>
      <c r="D165" s="18"/>
      <c r="E165" s="18"/>
      <c r="F165" s="18"/>
      <c r="G165" s="18"/>
      <c r="H165" s="49"/>
      <c r="I165" s="21"/>
      <c r="J165" s="22"/>
    </row>
    <row r="166" spans="1:10" ht="13.2" x14ac:dyDescent="0.25">
      <c r="A166" s="17"/>
      <c r="B166" s="17"/>
      <c r="D166" s="18"/>
      <c r="E166" s="18"/>
      <c r="F166" s="18"/>
      <c r="G166" s="18"/>
      <c r="H166" s="49"/>
      <c r="I166" s="21"/>
      <c r="J166" s="22"/>
    </row>
    <row r="167" spans="1:10" ht="13.2" x14ac:dyDescent="0.25">
      <c r="A167" s="17"/>
      <c r="B167" s="17"/>
      <c r="D167" s="18"/>
      <c r="E167" s="18"/>
      <c r="F167" s="18"/>
      <c r="G167" s="18"/>
      <c r="H167" s="49"/>
      <c r="I167" s="21"/>
      <c r="J167" s="22"/>
    </row>
    <row r="168" spans="1:10" ht="13.2" x14ac:dyDescent="0.25">
      <c r="A168" s="17"/>
      <c r="B168" s="17"/>
      <c r="D168" s="18"/>
      <c r="E168" s="18"/>
      <c r="F168" s="18"/>
      <c r="G168" s="18"/>
      <c r="H168" s="49"/>
      <c r="I168" s="21"/>
      <c r="J168" s="22"/>
    </row>
    <row r="169" spans="1:10" ht="13.2" x14ac:dyDescent="0.25">
      <c r="A169" s="17"/>
      <c r="B169" s="17"/>
      <c r="D169" s="18"/>
      <c r="E169" s="18"/>
      <c r="F169" s="18"/>
      <c r="G169" s="18"/>
      <c r="H169" s="49"/>
      <c r="I169" s="21"/>
      <c r="J169" s="22"/>
    </row>
    <row r="170" spans="1:10" ht="13.2" x14ac:dyDescent="0.25">
      <c r="A170" s="17"/>
      <c r="B170" s="17"/>
      <c r="D170" s="18"/>
      <c r="E170" s="18"/>
      <c r="F170" s="18"/>
      <c r="G170" s="18"/>
      <c r="H170" s="49"/>
      <c r="I170" s="21"/>
      <c r="J170" s="22"/>
    </row>
    <row r="171" spans="1:10" ht="13.2" x14ac:dyDescent="0.25">
      <c r="A171" s="17"/>
      <c r="B171" s="17"/>
      <c r="D171" s="18"/>
      <c r="E171" s="18"/>
      <c r="F171" s="18"/>
      <c r="G171" s="18"/>
      <c r="H171" s="49"/>
      <c r="I171" s="21"/>
      <c r="J171" s="22"/>
    </row>
    <row r="172" spans="1:10" ht="13.2" x14ac:dyDescent="0.25">
      <c r="A172" s="17"/>
      <c r="B172" s="17"/>
      <c r="D172" s="18"/>
      <c r="E172" s="18"/>
      <c r="F172" s="18"/>
      <c r="G172" s="18"/>
      <c r="H172" s="49"/>
      <c r="I172" s="21"/>
      <c r="J172" s="22"/>
    </row>
    <row r="173" spans="1:10" ht="13.2" x14ac:dyDescent="0.25">
      <c r="A173" s="17"/>
      <c r="B173" s="17"/>
      <c r="D173" s="18"/>
      <c r="E173" s="18"/>
      <c r="F173" s="18"/>
      <c r="G173" s="18"/>
      <c r="H173" s="49"/>
      <c r="I173" s="21"/>
      <c r="J173" s="22"/>
    </row>
    <row r="174" spans="1:10" ht="13.2" x14ac:dyDescent="0.25">
      <c r="A174" s="17"/>
      <c r="B174" s="17"/>
      <c r="D174" s="18"/>
      <c r="E174" s="18"/>
      <c r="F174" s="18"/>
      <c r="G174" s="18"/>
      <c r="H174" s="49"/>
      <c r="I174" s="21"/>
      <c r="J174" s="22"/>
    </row>
    <row r="175" spans="1:10" ht="13.2" x14ac:dyDescent="0.25">
      <c r="A175" s="17"/>
      <c r="B175" s="17"/>
      <c r="D175" s="18"/>
      <c r="E175" s="18"/>
      <c r="F175" s="18"/>
      <c r="G175" s="18"/>
      <c r="H175" s="49"/>
      <c r="I175" s="21"/>
      <c r="J175" s="22"/>
    </row>
    <row r="176" spans="1:10" ht="13.2" x14ac:dyDescent="0.25">
      <c r="A176" s="17"/>
      <c r="B176" s="17"/>
      <c r="D176" s="18"/>
      <c r="E176" s="18"/>
      <c r="F176" s="18"/>
      <c r="G176" s="18"/>
      <c r="H176" s="49"/>
      <c r="I176" s="21"/>
      <c r="J176" s="22"/>
    </row>
    <row r="177" spans="1:10" ht="13.2" x14ac:dyDescent="0.25">
      <c r="A177" s="17"/>
      <c r="B177" s="17"/>
      <c r="D177" s="18"/>
      <c r="E177" s="18"/>
      <c r="F177" s="18"/>
      <c r="G177" s="18"/>
      <c r="H177" s="49"/>
      <c r="I177" s="21"/>
      <c r="J177" s="22"/>
    </row>
    <row r="178" spans="1:10" ht="13.2" x14ac:dyDescent="0.25">
      <c r="A178" s="17"/>
      <c r="B178" s="17"/>
      <c r="D178" s="18"/>
      <c r="E178" s="18"/>
      <c r="F178" s="18"/>
      <c r="G178" s="18"/>
      <c r="H178" s="49"/>
      <c r="I178" s="21"/>
      <c r="J178" s="22"/>
    </row>
    <row r="179" spans="1:10" ht="13.2" x14ac:dyDescent="0.25">
      <c r="A179" s="17"/>
      <c r="B179" s="17"/>
      <c r="D179" s="18"/>
      <c r="E179" s="18"/>
      <c r="F179" s="18"/>
      <c r="G179" s="18"/>
      <c r="H179" s="49"/>
      <c r="I179" s="21"/>
      <c r="J179" s="22"/>
    </row>
    <row r="180" spans="1:10" ht="13.2" x14ac:dyDescent="0.25">
      <c r="A180" s="17"/>
      <c r="B180" s="17"/>
      <c r="D180" s="18"/>
      <c r="E180" s="18"/>
      <c r="F180" s="18"/>
      <c r="G180" s="18"/>
      <c r="H180" s="49"/>
      <c r="I180" s="21"/>
      <c r="J180" s="22"/>
    </row>
    <row r="181" spans="1:10" ht="13.2" x14ac:dyDescent="0.25">
      <c r="A181" s="17"/>
      <c r="B181" s="17"/>
      <c r="D181" s="18"/>
      <c r="E181" s="18"/>
      <c r="F181" s="18"/>
      <c r="G181" s="18"/>
      <c r="H181" s="49"/>
      <c r="I181" s="21"/>
      <c r="J181" s="22"/>
    </row>
    <row r="182" spans="1:10" ht="13.2" x14ac:dyDescent="0.25">
      <c r="A182" s="17"/>
      <c r="B182" s="17"/>
      <c r="D182" s="18"/>
      <c r="E182" s="18"/>
      <c r="F182" s="18"/>
      <c r="G182" s="18"/>
      <c r="H182" s="49"/>
      <c r="I182" s="21"/>
      <c r="J182" s="22"/>
    </row>
    <row r="183" spans="1:10" ht="13.2" x14ac:dyDescent="0.25">
      <c r="A183" s="17"/>
      <c r="B183" s="17"/>
      <c r="D183" s="18"/>
      <c r="E183" s="18"/>
      <c r="F183" s="18"/>
      <c r="G183" s="18"/>
      <c r="H183" s="49"/>
      <c r="I183" s="21"/>
      <c r="J183" s="22"/>
    </row>
    <row r="184" spans="1:10" ht="13.2" x14ac:dyDescent="0.25">
      <c r="A184" s="17"/>
      <c r="B184" s="17"/>
      <c r="D184" s="18"/>
      <c r="E184" s="18"/>
      <c r="F184" s="18"/>
      <c r="G184" s="18"/>
      <c r="H184" s="49"/>
      <c r="I184" s="21"/>
      <c r="J184" s="22"/>
    </row>
    <row r="185" spans="1:10" ht="13.2" x14ac:dyDescent="0.25">
      <c r="A185" s="17"/>
      <c r="B185" s="17"/>
      <c r="D185" s="18"/>
      <c r="E185" s="18"/>
      <c r="F185" s="18"/>
      <c r="G185" s="18"/>
      <c r="H185" s="49"/>
      <c r="I185" s="21"/>
      <c r="J185" s="22"/>
    </row>
    <row r="186" spans="1:10" ht="13.2" x14ac:dyDescent="0.25">
      <c r="A186" s="17"/>
      <c r="B186" s="17"/>
      <c r="D186" s="18"/>
      <c r="E186" s="18"/>
      <c r="F186" s="18"/>
      <c r="G186" s="18"/>
      <c r="H186" s="49"/>
      <c r="I186" s="21"/>
      <c r="J186" s="22"/>
    </row>
    <row r="187" spans="1:10" ht="13.2" x14ac:dyDescent="0.25">
      <c r="A187" s="17"/>
      <c r="B187" s="17"/>
      <c r="D187" s="18"/>
      <c r="E187" s="18"/>
      <c r="F187" s="18"/>
      <c r="G187" s="18"/>
      <c r="H187" s="49"/>
      <c r="I187" s="21"/>
      <c r="J187" s="22"/>
    </row>
    <row r="188" spans="1:10" ht="13.2" x14ac:dyDescent="0.25">
      <c r="A188" s="17"/>
      <c r="B188" s="17"/>
      <c r="D188" s="18"/>
      <c r="E188" s="18"/>
      <c r="F188" s="18"/>
      <c r="G188" s="18"/>
      <c r="H188" s="49"/>
      <c r="I188" s="21"/>
      <c r="J188" s="22"/>
    </row>
    <row r="189" spans="1:10" ht="13.2" x14ac:dyDescent="0.25">
      <c r="A189" s="17"/>
      <c r="B189" s="17"/>
      <c r="D189" s="18"/>
      <c r="E189" s="18"/>
      <c r="F189" s="18"/>
      <c r="G189" s="18"/>
      <c r="H189" s="49"/>
      <c r="I189" s="21"/>
      <c r="J189" s="22"/>
    </row>
    <row r="190" spans="1:10" ht="13.2" x14ac:dyDescent="0.25">
      <c r="A190" s="17"/>
      <c r="B190" s="17"/>
      <c r="D190" s="18"/>
      <c r="E190" s="18"/>
      <c r="F190" s="18"/>
      <c r="G190" s="18"/>
      <c r="H190" s="49"/>
      <c r="I190" s="21"/>
      <c r="J190" s="22"/>
    </row>
    <row r="191" spans="1:10" ht="13.2" x14ac:dyDescent="0.25">
      <c r="A191" s="17"/>
      <c r="B191" s="17"/>
      <c r="D191" s="18"/>
      <c r="E191" s="18"/>
      <c r="F191" s="18"/>
      <c r="G191" s="18"/>
      <c r="H191" s="49"/>
      <c r="I191" s="21"/>
      <c r="J191" s="22"/>
    </row>
    <row r="192" spans="1:10" ht="13.2" x14ac:dyDescent="0.25">
      <c r="A192" s="17"/>
      <c r="B192" s="17"/>
      <c r="D192" s="18"/>
      <c r="E192" s="18"/>
      <c r="F192" s="18"/>
      <c r="G192" s="18"/>
      <c r="H192" s="49"/>
      <c r="I192" s="21"/>
      <c r="J192" s="22"/>
    </row>
    <row r="193" spans="1:10" ht="13.2" x14ac:dyDescent="0.25">
      <c r="A193" s="17"/>
      <c r="B193" s="17"/>
      <c r="D193" s="18"/>
      <c r="E193" s="18"/>
      <c r="F193" s="18"/>
      <c r="G193" s="18"/>
      <c r="H193" s="49"/>
      <c r="I193" s="21"/>
      <c r="J193" s="22"/>
    </row>
    <row r="194" spans="1:10" ht="13.2" x14ac:dyDescent="0.25">
      <c r="A194" s="17"/>
      <c r="B194" s="17"/>
      <c r="D194" s="18"/>
      <c r="E194" s="18"/>
      <c r="F194" s="18"/>
      <c r="G194" s="18"/>
      <c r="H194" s="49"/>
      <c r="I194" s="21"/>
      <c r="J194" s="22"/>
    </row>
    <row r="195" spans="1:10" ht="13.2" x14ac:dyDescent="0.25">
      <c r="A195" s="17"/>
      <c r="B195" s="17"/>
      <c r="D195" s="18"/>
      <c r="E195" s="18"/>
      <c r="F195" s="18"/>
      <c r="G195" s="18"/>
      <c r="H195" s="49"/>
      <c r="I195" s="21"/>
      <c r="J195" s="22"/>
    </row>
    <row r="196" spans="1:10" ht="13.2" x14ac:dyDescent="0.25">
      <c r="A196" s="17"/>
      <c r="B196" s="17"/>
      <c r="D196" s="18"/>
      <c r="E196" s="18"/>
      <c r="F196" s="18"/>
      <c r="G196" s="18"/>
      <c r="H196" s="49"/>
      <c r="I196" s="21"/>
      <c r="J196" s="22"/>
    </row>
    <row r="197" spans="1:10" ht="13.2" x14ac:dyDescent="0.25">
      <c r="A197" s="17"/>
      <c r="B197" s="17"/>
      <c r="D197" s="18"/>
      <c r="E197" s="18"/>
      <c r="F197" s="18"/>
      <c r="G197" s="18"/>
      <c r="H197" s="49"/>
      <c r="I197" s="21"/>
      <c r="J197" s="22"/>
    </row>
    <row r="198" spans="1:10" ht="13.2" x14ac:dyDescent="0.25">
      <c r="A198" s="17"/>
      <c r="B198" s="17"/>
      <c r="D198" s="18"/>
      <c r="E198" s="18"/>
      <c r="F198" s="18"/>
      <c r="G198" s="18"/>
      <c r="H198" s="49"/>
      <c r="I198" s="21"/>
      <c r="J198" s="22"/>
    </row>
    <row r="199" spans="1:10" ht="13.2" x14ac:dyDescent="0.25">
      <c r="A199" s="17"/>
      <c r="B199" s="17"/>
      <c r="D199" s="18"/>
      <c r="E199" s="18"/>
      <c r="F199" s="18"/>
      <c r="G199" s="18"/>
      <c r="H199" s="49"/>
      <c r="I199" s="21"/>
      <c r="J199" s="22"/>
    </row>
    <row r="200" spans="1:10" ht="13.2" x14ac:dyDescent="0.25">
      <c r="A200" s="17"/>
      <c r="B200" s="17"/>
      <c r="D200" s="18"/>
      <c r="E200" s="18"/>
      <c r="F200" s="18"/>
      <c r="G200" s="18"/>
      <c r="H200" s="49"/>
      <c r="I200" s="21"/>
      <c r="J200" s="22"/>
    </row>
    <row r="201" spans="1:10" ht="13.2" x14ac:dyDescent="0.25">
      <c r="A201" s="17"/>
      <c r="B201" s="17"/>
      <c r="D201" s="18"/>
      <c r="E201" s="18"/>
      <c r="F201" s="18"/>
      <c r="G201" s="18"/>
      <c r="H201" s="49"/>
      <c r="I201" s="21"/>
      <c r="J201" s="22"/>
    </row>
    <row r="202" spans="1:10" ht="13.2" x14ac:dyDescent="0.25">
      <c r="A202" s="17"/>
      <c r="B202" s="17"/>
      <c r="D202" s="18"/>
      <c r="E202" s="18"/>
      <c r="F202" s="18"/>
      <c r="G202" s="18"/>
      <c r="H202" s="49"/>
      <c r="I202" s="21"/>
      <c r="J202" s="22"/>
    </row>
    <row r="203" spans="1:10" ht="13.2" x14ac:dyDescent="0.25">
      <c r="A203" s="17"/>
      <c r="B203" s="17"/>
      <c r="D203" s="18"/>
      <c r="E203" s="18"/>
      <c r="F203" s="18"/>
      <c r="G203" s="18"/>
      <c r="H203" s="49"/>
      <c r="I203" s="21"/>
      <c r="J203" s="22"/>
    </row>
    <row r="204" spans="1:10" ht="13.2" x14ac:dyDescent="0.25">
      <c r="A204" s="17"/>
      <c r="B204" s="17"/>
      <c r="D204" s="18"/>
      <c r="E204" s="18"/>
      <c r="F204" s="18"/>
      <c r="G204" s="18"/>
      <c r="H204" s="49"/>
      <c r="I204" s="21"/>
      <c r="J204" s="22"/>
    </row>
    <row r="205" spans="1:10" ht="13.2" x14ac:dyDescent="0.25">
      <c r="A205" s="17"/>
      <c r="B205" s="17"/>
      <c r="D205" s="18"/>
      <c r="E205" s="18"/>
      <c r="F205" s="18"/>
      <c r="G205" s="18"/>
      <c r="H205" s="49"/>
      <c r="I205" s="21"/>
      <c r="J205" s="22"/>
    </row>
    <row r="206" spans="1:10" ht="13.2" x14ac:dyDescent="0.25">
      <c r="A206" s="17"/>
      <c r="B206" s="17"/>
      <c r="D206" s="18"/>
      <c r="E206" s="18"/>
      <c r="F206" s="18"/>
      <c r="G206" s="18"/>
      <c r="H206" s="49"/>
      <c r="I206" s="21"/>
      <c r="J206" s="22"/>
    </row>
    <row r="207" spans="1:10" ht="13.2" x14ac:dyDescent="0.25">
      <c r="A207" s="17"/>
      <c r="B207" s="17"/>
      <c r="D207" s="18"/>
      <c r="E207" s="18"/>
      <c r="F207" s="18"/>
      <c r="G207" s="18"/>
      <c r="H207" s="49"/>
      <c r="I207" s="21"/>
      <c r="J207" s="22"/>
    </row>
    <row r="208" spans="1:10" ht="13.2" x14ac:dyDescent="0.25">
      <c r="A208" s="17"/>
      <c r="B208" s="17"/>
      <c r="D208" s="18"/>
      <c r="E208" s="18"/>
      <c r="F208" s="18"/>
      <c r="G208" s="18"/>
      <c r="H208" s="49"/>
      <c r="I208" s="21"/>
      <c r="J208" s="22"/>
    </row>
    <row r="209" spans="1:10" ht="13.2" x14ac:dyDescent="0.25">
      <c r="A209" s="17"/>
      <c r="B209" s="17"/>
      <c r="D209" s="18"/>
      <c r="E209" s="18"/>
      <c r="F209" s="18"/>
      <c r="G209" s="18"/>
      <c r="H209" s="49"/>
      <c r="I209" s="21"/>
      <c r="J209" s="22"/>
    </row>
    <row r="210" spans="1:10" ht="13.2" x14ac:dyDescent="0.25">
      <c r="A210" s="17"/>
      <c r="B210" s="17"/>
      <c r="D210" s="18"/>
      <c r="E210" s="18"/>
      <c r="F210" s="18"/>
      <c r="G210" s="18"/>
      <c r="H210" s="49"/>
      <c r="I210" s="21"/>
      <c r="J210" s="22"/>
    </row>
    <row r="211" spans="1:10" ht="13.2" x14ac:dyDescent="0.25">
      <c r="A211" s="17"/>
      <c r="B211" s="17"/>
      <c r="D211" s="18"/>
      <c r="E211" s="18"/>
      <c r="F211" s="18"/>
      <c r="G211" s="18"/>
      <c r="H211" s="49"/>
      <c r="I211" s="21"/>
      <c r="J211" s="22"/>
    </row>
    <row r="212" spans="1:10" ht="13.2" x14ac:dyDescent="0.25">
      <c r="A212" s="17"/>
      <c r="B212" s="17"/>
      <c r="D212" s="18"/>
      <c r="E212" s="18"/>
      <c r="F212" s="18"/>
      <c r="G212" s="18"/>
      <c r="H212" s="49"/>
      <c r="I212" s="21"/>
      <c r="J212" s="22"/>
    </row>
    <row r="213" spans="1:10" ht="13.2" x14ac:dyDescent="0.25">
      <c r="A213" s="17"/>
      <c r="B213" s="17"/>
      <c r="D213" s="18"/>
      <c r="E213" s="18"/>
      <c r="F213" s="18"/>
      <c r="G213" s="18"/>
      <c r="H213" s="49"/>
      <c r="I213" s="21"/>
      <c r="J213" s="22"/>
    </row>
    <row r="214" spans="1:10" ht="13.2" x14ac:dyDescent="0.25">
      <c r="A214" s="17"/>
      <c r="B214" s="17"/>
      <c r="D214" s="18"/>
      <c r="E214" s="18"/>
      <c r="F214" s="18"/>
      <c r="G214" s="18"/>
      <c r="H214" s="49"/>
      <c r="I214" s="21"/>
      <c r="J214" s="22"/>
    </row>
    <row r="215" spans="1:10" ht="13.2" x14ac:dyDescent="0.25">
      <c r="A215" s="17"/>
      <c r="B215" s="17"/>
      <c r="D215" s="18"/>
      <c r="E215" s="18"/>
      <c r="F215" s="18"/>
      <c r="G215" s="18"/>
      <c r="H215" s="49"/>
      <c r="I215" s="21"/>
      <c r="J215" s="22"/>
    </row>
    <row r="216" spans="1:10" ht="13.2" x14ac:dyDescent="0.25">
      <c r="A216" s="17"/>
      <c r="B216" s="17"/>
      <c r="D216" s="18"/>
      <c r="E216" s="18"/>
      <c r="F216" s="18"/>
      <c r="G216" s="18"/>
      <c r="H216" s="49"/>
      <c r="I216" s="21"/>
      <c r="J216" s="22"/>
    </row>
    <row r="217" spans="1:10" ht="13.2" x14ac:dyDescent="0.25">
      <c r="A217" s="17"/>
      <c r="B217" s="17"/>
      <c r="D217" s="18"/>
      <c r="E217" s="18"/>
      <c r="F217" s="18"/>
      <c r="G217" s="18"/>
      <c r="H217" s="49"/>
      <c r="I217" s="21"/>
      <c r="J217" s="22"/>
    </row>
    <row r="218" spans="1:10" ht="13.2" x14ac:dyDescent="0.25">
      <c r="A218" s="17"/>
      <c r="B218" s="17"/>
      <c r="D218" s="18"/>
      <c r="E218" s="18"/>
      <c r="F218" s="18"/>
      <c r="G218" s="18"/>
      <c r="H218" s="49"/>
      <c r="I218" s="21"/>
      <c r="J218" s="22"/>
    </row>
    <row r="219" spans="1:10" ht="13.2" x14ac:dyDescent="0.25">
      <c r="A219" s="17"/>
      <c r="B219" s="17"/>
      <c r="D219" s="18"/>
      <c r="E219" s="18"/>
      <c r="F219" s="18"/>
      <c r="G219" s="18"/>
      <c r="H219" s="49"/>
      <c r="I219" s="21"/>
      <c r="J219" s="22"/>
    </row>
    <row r="220" spans="1:10" ht="13.2" x14ac:dyDescent="0.25">
      <c r="A220" s="17"/>
      <c r="B220" s="17"/>
      <c r="D220" s="18"/>
      <c r="E220" s="18"/>
      <c r="F220" s="18"/>
      <c r="G220" s="18"/>
      <c r="H220" s="49"/>
      <c r="I220" s="21"/>
      <c r="J220" s="22"/>
    </row>
    <row r="221" spans="1:10" ht="13.2" x14ac:dyDescent="0.25">
      <c r="A221" s="17"/>
      <c r="B221" s="17"/>
      <c r="D221" s="18"/>
      <c r="E221" s="18"/>
      <c r="F221" s="18"/>
      <c r="G221" s="18"/>
      <c r="H221" s="49"/>
      <c r="I221" s="21"/>
      <c r="J221" s="22"/>
    </row>
    <row r="222" spans="1:10" ht="13.2" x14ac:dyDescent="0.25">
      <c r="A222" s="17"/>
      <c r="B222" s="17"/>
      <c r="D222" s="18"/>
      <c r="E222" s="18"/>
      <c r="F222" s="18"/>
      <c r="G222" s="18"/>
      <c r="H222" s="49"/>
      <c r="I222" s="21"/>
      <c r="J222" s="22"/>
    </row>
    <row r="223" spans="1:10" ht="13.2" x14ac:dyDescent="0.25">
      <c r="A223" s="17"/>
      <c r="B223" s="17"/>
      <c r="D223" s="18"/>
      <c r="E223" s="18"/>
      <c r="F223" s="18"/>
      <c r="G223" s="18"/>
      <c r="H223" s="49"/>
      <c r="I223" s="21"/>
      <c r="J223" s="22"/>
    </row>
    <row r="224" spans="1:10" ht="13.2" x14ac:dyDescent="0.25">
      <c r="A224" s="17"/>
      <c r="B224" s="17"/>
      <c r="D224" s="18"/>
      <c r="E224" s="18"/>
      <c r="F224" s="18"/>
      <c r="G224" s="18"/>
      <c r="H224" s="49"/>
      <c r="I224" s="21"/>
      <c r="J224" s="22"/>
    </row>
    <row r="225" spans="1:10" ht="13.2" x14ac:dyDescent="0.25">
      <c r="A225" s="17"/>
      <c r="B225" s="17"/>
      <c r="D225" s="18"/>
      <c r="E225" s="18"/>
      <c r="F225" s="18"/>
      <c r="G225" s="18"/>
      <c r="H225" s="49"/>
      <c r="I225" s="21"/>
      <c r="J225" s="22"/>
    </row>
    <row r="226" spans="1:10" ht="13.2" x14ac:dyDescent="0.25">
      <c r="A226" s="17"/>
      <c r="B226" s="17"/>
      <c r="D226" s="18"/>
      <c r="E226" s="18"/>
      <c r="F226" s="18"/>
      <c r="G226" s="18"/>
      <c r="H226" s="49"/>
      <c r="I226" s="21"/>
      <c r="J226" s="22"/>
    </row>
    <row r="227" spans="1:10" ht="13.2" x14ac:dyDescent="0.25">
      <c r="A227" s="17"/>
      <c r="B227" s="17"/>
      <c r="D227" s="18"/>
      <c r="E227" s="18"/>
      <c r="F227" s="18"/>
      <c r="G227" s="18"/>
      <c r="H227" s="49"/>
      <c r="I227" s="21"/>
      <c r="J227" s="22"/>
    </row>
    <row r="228" spans="1:10" ht="13.2" x14ac:dyDescent="0.25">
      <c r="A228" s="17"/>
      <c r="B228" s="17"/>
      <c r="D228" s="18"/>
      <c r="E228" s="18"/>
      <c r="F228" s="18"/>
      <c r="G228" s="18"/>
      <c r="H228" s="49"/>
      <c r="I228" s="21"/>
      <c r="J228" s="22"/>
    </row>
    <row r="229" spans="1:10" ht="13.2" x14ac:dyDescent="0.25">
      <c r="A229" s="17"/>
      <c r="B229" s="17"/>
      <c r="D229" s="18"/>
      <c r="E229" s="18"/>
      <c r="F229" s="18"/>
      <c r="G229" s="18"/>
      <c r="H229" s="49"/>
      <c r="I229" s="21"/>
      <c r="J229" s="22"/>
    </row>
    <row r="230" spans="1:10" ht="13.2" x14ac:dyDescent="0.25">
      <c r="A230" s="17"/>
      <c r="B230" s="17"/>
      <c r="D230" s="18"/>
      <c r="E230" s="18"/>
      <c r="F230" s="18"/>
      <c r="G230" s="18"/>
      <c r="H230" s="49"/>
      <c r="I230" s="21"/>
      <c r="J230" s="22"/>
    </row>
    <row r="231" spans="1:10" ht="13.2" x14ac:dyDescent="0.25">
      <c r="A231" s="17"/>
      <c r="B231" s="17"/>
      <c r="D231" s="18"/>
      <c r="E231" s="18"/>
      <c r="F231" s="18"/>
      <c r="G231" s="18"/>
      <c r="H231" s="49"/>
      <c r="I231" s="21"/>
      <c r="J231" s="22"/>
    </row>
    <row r="232" spans="1:10" ht="13.2" x14ac:dyDescent="0.25">
      <c r="A232" s="17"/>
      <c r="B232" s="17"/>
      <c r="D232" s="18"/>
      <c r="E232" s="18"/>
      <c r="F232" s="18"/>
      <c r="G232" s="18"/>
      <c r="H232" s="49"/>
      <c r="I232" s="21"/>
      <c r="J232" s="22"/>
    </row>
    <row r="233" spans="1:10" ht="13.2" x14ac:dyDescent="0.25">
      <c r="A233" s="17"/>
      <c r="B233" s="17"/>
      <c r="D233" s="18"/>
      <c r="E233" s="18"/>
      <c r="F233" s="18"/>
      <c r="G233" s="18"/>
      <c r="H233" s="49"/>
      <c r="I233" s="21"/>
      <c r="J233" s="22"/>
    </row>
    <row r="234" spans="1:10" ht="13.2" x14ac:dyDescent="0.25">
      <c r="A234" s="17"/>
      <c r="B234" s="17"/>
      <c r="D234" s="18"/>
      <c r="E234" s="18"/>
      <c r="F234" s="18"/>
      <c r="G234" s="18"/>
      <c r="H234" s="49"/>
      <c r="I234" s="21"/>
      <c r="J234" s="22"/>
    </row>
    <row r="235" spans="1:10" ht="13.2" x14ac:dyDescent="0.25">
      <c r="A235" s="17"/>
      <c r="B235" s="17"/>
      <c r="D235" s="18"/>
      <c r="E235" s="18"/>
      <c r="F235" s="18"/>
      <c r="G235" s="18"/>
      <c r="H235" s="49"/>
      <c r="I235" s="21"/>
      <c r="J235" s="22"/>
    </row>
    <row r="236" spans="1:10" ht="13.2" x14ac:dyDescent="0.25">
      <c r="A236" s="17"/>
      <c r="B236" s="17"/>
      <c r="D236" s="18"/>
      <c r="E236" s="18"/>
      <c r="F236" s="18"/>
      <c r="G236" s="18"/>
      <c r="H236" s="49"/>
      <c r="I236" s="21"/>
      <c r="J236" s="22"/>
    </row>
    <row r="237" spans="1:10" ht="13.2" x14ac:dyDescent="0.25">
      <c r="A237" s="17"/>
      <c r="B237" s="17"/>
      <c r="D237" s="18"/>
      <c r="E237" s="18"/>
      <c r="F237" s="18"/>
      <c r="G237" s="18"/>
      <c r="H237" s="49"/>
      <c r="I237" s="21"/>
      <c r="J237" s="22"/>
    </row>
    <row r="238" spans="1:10" ht="13.2" x14ac:dyDescent="0.25">
      <c r="A238" s="17"/>
      <c r="B238" s="17"/>
      <c r="D238" s="18"/>
      <c r="E238" s="18"/>
      <c r="F238" s="18"/>
      <c r="G238" s="18"/>
      <c r="H238" s="49"/>
      <c r="I238" s="21"/>
      <c r="J238" s="22"/>
    </row>
    <row r="239" spans="1:10" ht="13.2" x14ac:dyDescent="0.25">
      <c r="A239" s="17"/>
      <c r="B239" s="17"/>
      <c r="D239" s="18"/>
      <c r="E239" s="18"/>
      <c r="F239" s="18"/>
      <c r="G239" s="18"/>
      <c r="H239" s="49"/>
      <c r="I239" s="21"/>
      <c r="J239" s="22"/>
    </row>
    <row r="240" spans="1:10" ht="13.2" x14ac:dyDescent="0.25">
      <c r="A240" s="17"/>
      <c r="B240" s="17"/>
      <c r="D240" s="18"/>
      <c r="E240" s="18"/>
      <c r="F240" s="18"/>
      <c r="G240" s="18"/>
      <c r="H240" s="49"/>
      <c r="I240" s="21"/>
      <c r="J240" s="22"/>
    </row>
    <row r="241" spans="1:10" ht="13.2" x14ac:dyDescent="0.25">
      <c r="A241" s="17"/>
      <c r="B241" s="17"/>
      <c r="D241" s="18"/>
      <c r="E241" s="18"/>
      <c r="F241" s="18"/>
      <c r="G241" s="18"/>
      <c r="H241" s="49"/>
      <c r="I241" s="21"/>
      <c r="J241" s="22"/>
    </row>
    <row r="242" spans="1:10" ht="13.2" x14ac:dyDescent="0.25">
      <c r="A242" s="17"/>
      <c r="B242" s="17"/>
      <c r="D242" s="18"/>
      <c r="E242" s="18"/>
      <c r="F242" s="18"/>
      <c r="G242" s="18"/>
      <c r="H242" s="49"/>
      <c r="I242" s="21"/>
      <c r="J242" s="22"/>
    </row>
    <row r="243" spans="1:10" ht="13.2" x14ac:dyDescent="0.25">
      <c r="A243" s="17"/>
      <c r="B243" s="17"/>
      <c r="D243" s="18"/>
      <c r="E243" s="18"/>
      <c r="F243" s="18"/>
      <c r="G243" s="18"/>
      <c r="H243" s="49"/>
      <c r="I243" s="21"/>
      <c r="J243" s="22"/>
    </row>
    <row r="244" spans="1:10" ht="13.2" x14ac:dyDescent="0.25">
      <c r="A244" s="17"/>
      <c r="B244" s="17"/>
      <c r="D244" s="18"/>
      <c r="E244" s="18"/>
      <c r="F244" s="18"/>
      <c r="G244" s="18"/>
      <c r="H244" s="49"/>
      <c r="I244" s="21"/>
      <c r="J244" s="22"/>
    </row>
    <row r="245" spans="1:10" ht="13.2" x14ac:dyDescent="0.25">
      <c r="A245" s="17"/>
      <c r="B245" s="17"/>
      <c r="D245" s="18"/>
      <c r="E245" s="18"/>
      <c r="F245" s="18"/>
      <c r="G245" s="18"/>
      <c r="H245" s="49"/>
      <c r="I245" s="21"/>
      <c r="J245" s="22"/>
    </row>
    <row r="246" spans="1:10" ht="13.2" x14ac:dyDescent="0.25">
      <c r="A246" s="17"/>
      <c r="B246" s="17"/>
      <c r="D246" s="18"/>
      <c r="E246" s="18"/>
      <c r="F246" s="18"/>
      <c r="G246" s="18"/>
      <c r="H246" s="49"/>
      <c r="I246" s="21"/>
      <c r="J246" s="22"/>
    </row>
    <row r="247" spans="1:10" ht="13.2" x14ac:dyDescent="0.25">
      <c r="A247" s="17"/>
      <c r="B247" s="17"/>
      <c r="D247" s="18"/>
      <c r="E247" s="18"/>
      <c r="F247" s="18"/>
      <c r="G247" s="18"/>
      <c r="H247" s="49"/>
      <c r="I247" s="21"/>
      <c r="J247" s="22"/>
    </row>
    <row r="248" spans="1:10" ht="13.2" x14ac:dyDescent="0.25">
      <c r="A248" s="17"/>
      <c r="B248" s="17"/>
      <c r="D248" s="18"/>
      <c r="E248" s="18"/>
      <c r="F248" s="18"/>
      <c r="G248" s="18"/>
      <c r="H248" s="49"/>
      <c r="I248" s="21"/>
      <c r="J248" s="22"/>
    </row>
    <row r="249" spans="1:10" ht="13.2" x14ac:dyDescent="0.25">
      <c r="A249" s="17"/>
      <c r="B249" s="17"/>
      <c r="D249" s="18"/>
      <c r="E249" s="18"/>
      <c r="F249" s="18"/>
      <c r="G249" s="18"/>
      <c r="H249" s="49"/>
      <c r="I249" s="21"/>
      <c r="J249" s="22"/>
    </row>
    <row r="250" spans="1:10" ht="13.2" x14ac:dyDescent="0.25">
      <c r="A250" s="17"/>
      <c r="B250" s="17"/>
      <c r="D250" s="18"/>
      <c r="E250" s="18"/>
      <c r="F250" s="18"/>
      <c r="G250" s="18"/>
      <c r="H250" s="49"/>
      <c r="I250" s="21"/>
      <c r="J250" s="22"/>
    </row>
    <row r="251" spans="1:10" ht="13.2" x14ac:dyDescent="0.25">
      <c r="A251" s="17"/>
      <c r="B251" s="17"/>
      <c r="D251" s="18"/>
      <c r="E251" s="18"/>
      <c r="F251" s="18"/>
      <c r="G251" s="18"/>
      <c r="H251" s="49"/>
      <c r="I251" s="21"/>
      <c r="J251" s="22"/>
    </row>
    <row r="252" spans="1:10" ht="13.2" x14ac:dyDescent="0.25">
      <c r="A252" s="17"/>
      <c r="B252" s="17"/>
      <c r="D252" s="18"/>
      <c r="E252" s="18"/>
      <c r="F252" s="18"/>
      <c r="G252" s="18"/>
      <c r="H252" s="49"/>
      <c r="I252" s="21"/>
      <c r="J252" s="22"/>
    </row>
    <row r="253" spans="1:10" ht="13.2" x14ac:dyDescent="0.25">
      <c r="A253" s="17"/>
      <c r="B253" s="17"/>
      <c r="D253" s="18"/>
      <c r="E253" s="18"/>
      <c r="F253" s="18"/>
      <c r="G253" s="18"/>
      <c r="H253" s="49"/>
      <c r="I253" s="21"/>
      <c r="J253" s="22"/>
    </row>
    <row r="254" spans="1:10" ht="13.2" x14ac:dyDescent="0.25">
      <c r="A254" s="17"/>
      <c r="B254" s="17"/>
      <c r="D254" s="18"/>
      <c r="E254" s="18"/>
      <c r="F254" s="18"/>
      <c r="G254" s="18"/>
      <c r="H254" s="49"/>
      <c r="I254" s="21"/>
      <c r="J254" s="22"/>
    </row>
    <row r="255" spans="1:10" ht="13.2" x14ac:dyDescent="0.25">
      <c r="A255" s="17"/>
      <c r="B255" s="17"/>
      <c r="D255" s="18"/>
      <c r="E255" s="18"/>
      <c r="F255" s="18"/>
      <c r="G255" s="18"/>
      <c r="H255" s="49"/>
      <c r="I255" s="21"/>
      <c r="J255" s="22"/>
    </row>
    <row r="256" spans="1:10" ht="13.2" x14ac:dyDescent="0.25">
      <c r="A256" s="17"/>
      <c r="B256" s="17"/>
      <c r="D256" s="18"/>
      <c r="E256" s="18"/>
      <c r="F256" s="18"/>
      <c r="G256" s="18"/>
      <c r="H256" s="49"/>
      <c r="I256" s="21"/>
      <c r="J256" s="22"/>
    </row>
    <row r="257" spans="1:10" ht="13.2" x14ac:dyDescent="0.25">
      <c r="A257" s="17"/>
      <c r="B257" s="17"/>
      <c r="D257" s="18"/>
      <c r="E257" s="18"/>
      <c r="F257" s="18"/>
      <c r="G257" s="18"/>
      <c r="H257" s="49"/>
      <c r="I257" s="21"/>
      <c r="J257" s="22"/>
    </row>
    <row r="258" spans="1:10" ht="13.2" x14ac:dyDescent="0.25">
      <c r="A258" s="17"/>
      <c r="B258" s="17"/>
      <c r="D258" s="18"/>
      <c r="E258" s="18"/>
      <c r="F258" s="18"/>
      <c r="G258" s="18"/>
      <c r="H258" s="49"/>
      <c r="I258" s="21"/>
      <c r="J258" s="22"/>
    </row>
    <row r="259" spans="1:10" ht="13.2" x14ac:dyDescent="0.25">
      <c r="A259" s="17"/>
      <c r="B259" s="17"/>
      <c r="D259" s="18"/>
      <c r="E259" s="18"/>
      <c r="F259" s="18"/>
      <c r="G259" s="18"/>
      <c r="H259" s="49"/>
      <c r="I259" s="21"/>
      <c r="J259" s="22"/>
    </row>
    <row r="260" spans="1:10" ht="13.2" x14ac:dyDescent="0.25">
      <c r="A260" s="17"/>
      <c r="B260" s="17"/>
      <c r="D260" s="18"/>
      <c r="E260" s="18"/>
      <c r="F260" s="18"/>
      <c r="G260" s="18"/>
      <c r="H260" s="49"/>
      <c r="I260" s="21"/>
      <c r="J260" s="22"/>
    </row>
    <row r="261" spans="1:10" ht="13.2" x14ac:dyDescent="0.25">
      <c r="A261" s="17"/>
      <c r="B261" s="17"/>
      <c r="D261" s="18"/>
      <c r="E261" s="18"/>
      <c r="F261" s="18"/>
      <c r="G261" s="18"/>
      <c r="H261" s="49"/>
      <c r="I261" s="21"/>
      <c r="J261" s="22"/>
    </row>
    <row r="262" spans="1:10" ht="13.2" x14ac:dyDescent="0.25">
      <c r="A262" s="17"/>
      <c r="B262" s="17"/>
      <c r="D262" s="18"/>
      <c r="E262" s="18"/>
      <c r="F262" s="18"/>
      <c r="G262" s="18"/>
      <c r="H262" s="49"/>
      <c r="I262" s="21"/>
      <c r="J262" s="22"/>
    </row>
    <row r="263" spans="1:10" ht="13.2" x14ac:dyDescent="0.25">
      <c r="A263" s="17"/>
      <c r="B263" s="17"/>
      <c r="D263" s="18"/>
      <c r="E263" s="18"/>
      <c r="F263" s="18"/>
      <c r="G263" s="18"/>
      <c r="H263" s="49"/>
      <c r="I263" s="21"/>
      <c r="J263" s="22"/>
    </row>
    <row r="264" spans="1:10" ht="13.2" x14ac:dyDescent="0.25">
      <c r="A264" s="17"/>
      <c r="B264" s="17"/>
      <c r="D264" s="18"/>
      <c r="E264" s="18"/>
      <c r="F264" s="18"/>
      <c r="G264" s="18"/>
      <c r="H264" s="49"/>
      <c r="I264" s="21"/>
      <c r="J264" s="22"/>
    </row>
    <row r="265" spans="1:10" ht="13.2" x14ac:dyDescent="0.25">
      <c r="A265" s="17"/>
      <c r="B265" s="17"/>
      <c r="D265" s="18"/>
      <c r="E265" s="18"/>
      <c r="F265" s="18"/>
      <c r="G265" s="18"/>
      <c r="H265" s="49"/>
      <c r="I265" s="21"/>
      <c r="J265" s="22"/>
    </row>
    <row r="266" spans="1:10" ht="13.2" x14ac:dyDescent="0.25">
      <c r="A266" s="17"/>
      <c r="B266" s="17"/>
      <c r="D266" s="18"/>
      <c r="E266" s="18"/>
      <c r="F266" s="18"/>
      <c r="G266" s="18"/>
      <c r="H266" s="49"/>
      <c r="I266" s="21"/>
      <c r="J266" s="22"/>
    </row>
    <row r="267" spans="1:10" ht="13.2" x14ac:dyDescent="0.25">
      <c r="A267" s="17"/>
      <c r="B267" s="17"/>
      <c r="D267" s="18"/>
      <c r="E267" s="18"/>
      <c r="F267" s="18"/>
      <c r="G267" s="18"/>
      <c r="H267" s="49"/>
      <c r="I267" s="21"/>
      <c r="J267" s="22"/>
    </row>
    <row r="268" spans="1:10" ht="13.2" x14ac:dyDescent="0.25">
      <c r="A268" s="17"/>
      <c r="B268" s="17"/>
      <c r="D268" s="18"/>
      <c r="E268" s="18"/>
      <c r="F268" s="18"/>
      <c r="G268" s="18"/>
      <c r="H268" s="49"/>
      <c r="I268" s="21"/>
      <c r="J268" s="22"/>
    </row>
    <row r="269" spans="1:10" ht="13.2" x14ac:dyDescent="0.25">
      <c r="A269" s="17"/>
      <c r="B269" s="17"/>
      <c r="D269" s="18"/>
      <c r="E269" s="18"/>
      <c r="F269" s="18"/>
      <c r="G269" s="18"/>
      <c r="H269" s="49"/>
      <c r="I269" s="21"/>
      <c r="J269" s="22"/>
    </row>
    <row r="270" spans="1:10" ht="13.2" x14ac:dyDescent="0.25">
      <c r="A270" s="17"/>
      <c r="B270" s="17"/>
      <c r="D270" s="18"/>
      <c r="E270" s="18"/>
      <c r="F270" s="18"/>
      <c r="G270" s="18"/>
      <c r="H270" s="49"/>
      <c r="I270" s="21"/>
      <c r="J270" s="22"/>
    </row>
    <row r="271" spans="1:10" ht="13.2" x14ac:dyDescent="0.25">
      <c r="A271" s="17"/>
      <c r="B271" s="17"/>
      <c r="D271" s="18"/>
      <c r="E271" s="18"/>
      <c r="F271" s="18"/>
      <c r="G271" s="18"/>
      <c r="H271" s="49"/>
      <c r="I271" s="21"/>
      <c r="J271" s="22"/>
    </row>
    <row r="272" spans="1:10" ht="13.2" x14ac:dyDescent="0.25">
      <c r="A272" s="17"/>
      <c r="B272" s="17"/>
      <c r="D272" s="18"/>
      <c r="E272" s="18"/>
      <c r="F272" s="18"/>
      <c r="G272" s="18"/>
      <c r="H272" s="49"/>
      <c r="I272" s="21"/>
      <c r="J272" s="22"/>
    </row>
    <row r="273" spans="1:10" ht="13.2" x14ac:dyDescent="0.25">
      <c r="A273" s="17"/>
      <c r="B273" s="17"/>
      <c r="D273" s="18"/>
      <c r="E273" s="18"/>
      <c r="F273" s="18"/>
      <c r="G273" s="18"/>
      <c r="H273" s="49"/>
      <c r="I273" s="21"/>
      <c r="J273" s="22"/>
    </row>
    <row r="274" spans="1:10" ht="13.2" x14ac:dyDescent="0.25">
      <c r="A274" s="17"/>
      <c r="B274" s="17"/>
      <c r="D274" s="18"/>
      <c r="E274" s="18"/>
      <c r="F274" s="18"/>
      <c r="G274" s="18"/>
      <c r="H274" s="49"/>
      <c r="I274" s="21"/>
      <c r="J274" s="22"/>
    </row>
    <row r="275" spans="1:10" ht="13.2" x14ac:dyDescent="0.25">
      <c r="A275" s="17"/>
      <c r="B275" s="17"/>
      <c r="D275" s="18"/>
      <c r="E275" s="18"/>
      <c r="F275" s="18"/>
      <c r="G275" s="18"/>
      <c r="H275" s="49"/>
      <c r="I275" s="21"/>
      <c r="J275" s="22"/>
    </row>
    <row r="276" spans="1:10" ht="13.2" x14ac:dyDescent="0.25">
      <c r="A276" s="17"/>
      <c r="B276" s="17"/>
      <c r="D276" s="18"/>
      <c r="E276" s="18"/>
      <c r="F276" s="18"/>
      <c r="G276" s="18"/>
      <c r="H276" s="49"/>
      <c r="I276" s="21"/>
      <c r="J276" s="22"/>
    </row>
    <row r="277" spans="1:10" ht="13.2" x14ac:dyDescent="0.25">
      <c r="A277" s="17"/>
      <c r="B277" s="17"/>
      <c r="D277" s="18"/>
      <c r="E277" s="18"/>
      <c r="F277" s="18"/>
      <c r="G277" s="18"/>
      <c r="H277" s="49"/>
      <c r="I277" s="21"/>
      <c r="J277" s="22"/>
    </row>
    <row r="278" spans="1:10" ht="13.2" x14ac:dyDescent="0.25">
      <c r="A278" s="17"/>
      <c r="B278" s="17"/>
      <c r="D278" s="18"/>
      <c r="E278" s="18"/>
      <c r="F278" s="18"/>
      <c r="G278" s="18"/>
      <c r="H278" s="49"/>
      <c r="I278" s="21"/>
      <c r="J278" s="22"/>
    </row>
    <row r="279" spans="1:10" ht="13.2" x14ac:dyDescent="0.25">
      <c r="A279" s="17"/>
      <c r="B279" s="17"/>
      <c r="D279" s="18"/>
      <c r="E279" s="18"/>
      <c r="F279" s="18"/>
      <c r="G279" s="18"/>
      <c r="H279" s="49"/>
      <c r="I279" s="21"/>
      <c r="J279" s="22"/>
    </row>
    <row r="280" spans="1:10" ht="13.2" x14ac:dyDescent="0.25">
      <c r="A280" s="17"/>
      <c r="B280" s="17"/>
      <c r="D280" s="18"/>
      <c r="E280" s="18"/>
      <c r="F280" s="18"/>
      <c r="G280" s="18"/>
      <c r="H280" s="49"/>
      <c r="I280" s="21"/>
      <c r="J280" s="22"/>
    </row>
    <row r="281" spans="1:10" ht="13.2" x14ac:dyDescent="0.25">
      <c r="A281" s="17"/>
      <c r="B281" s="17"/>
      <c r="D281" s="18"/>
      <c r="E281" s="18"/>
      <c r="F281" s="18"/>
      <c r="G281" s="18"/>
      <c r="H281" s="49"/>
      <c r="I281" s="21"/>
      <c r="J281" s="22"/>
    </row>
    <row r="282" spans="1:10" ht="13.2" x14ac:dyDescent="0.25">
      <c r="A282" s="17"/>
      <c r="B282" s="17"/>
      <c r="D282" s="18"/>
      <c r="E282" s="18"/>
      <c r="F282" s="18"/>
      <c r="G282" s="18"/>
      <c r="H282" s="49"/>
      <c r="I282" s="21"/>
      <c r="J282" s="22"/>
    </row>
    <row r="283" spans="1:10" ht="13.2" x14ac:dyDescent="0.25">
      <c r="A283" s="17"/>
      <c r="B283" s="17"/>
      <c r="D283" s="18"/>
      <c r="E283" s="18"/>
      <c r="F283" s="18"/>
      <c r="G283" s="18"/>
      <c r="H283" s="49"/>
      <c r="I283" s="21"/>
      <c r="J283" s="22"/>
    </row>
    <row r="284" spans="1:10" ht="13.2" x14ac:dyDescent="0.25">
      <c r="A284" s="17"/>
      <c r="B284" s="17"/>
      <c r="D284" s="18"/>
      <c r="E284" s="18"/>
      <c r="F284" s="18"/>
      <c r="G284" s="18"/>
      <c r="H284" s="49"/>
      <c r="I284" s="21"/>
      <c r="J284" s="22"/>
    </row>
    <row r="285" spans="1:10" ht="13.2" x14ac:dyDescent="0.25">
      <c r="A285" s="17"/>
      <c r="B285" s="17"/>
      <c r="D285" s="18"/>
      <c r="E285" s="18"/>
      <c r="F285" s="18"/>
      <c r="G285" s="18"/>
      <c r="H285" s="49"/>
      <c r="I285" s="21"/>
      <c r="J285" s="22"/>
    </row>
    <row r="286" spans="1:10" ht="13.2" x14ac:dyDescent="0.25">
      <c r="A286" s="17"/>
      <c r="B286" s="17"/>
      <c r="D286" s="18"/>
      <c r="E286" s="18"/>
      <c r="F286" s="18"/>
      <c r="G286" s="18"/>
      <c r="H286" s="49"/>
      <c r="I286" s="21"/>
      <c r="J286" s="22"/>
    </row>
    <row r="287" spans="1:10" ht="13.2" x14ac:dyDescent="0.25">
      <c r="A287" s="17"/>
      <c r="B287" s="17"/>
      <c r="D287" s="18"/>
      <c r="E287" s="18"/>
      <c r="F287" s="18"/>
      <c r="G287" s="18"/>
      <c r="H287" s="49"/>
      <c r="I287" s="21"/>
      <c r="J287" s="22"/>
    </row>
    <row r="288" spans="1:10" ht="13.2" x14ac:dyDescent="0.25">
      <c r="A288" s="17"/>
      <c r="B288" s="17"/>
      <c r="D288" s="18"/>
      <c r="E288" s="18"/>
      <c r="F288" s="18"/>
      <c r="G288" s="18"/>
      <c r="H288" s="49"/>
      <c r="I288" s="21"/>
      <c r="J288" s="22"/>
    </row>
    <row r="289" spans="1:10" ht="13.2" x14ac:dyDescent="0.25">
      <c r="A289" s="17"/>
      <c r="B289" s="17"/>
      <c r="D289" s="18"/>
      <c r="E289" s="18"/>
      <c r="F289" s="18"/>
      <c r="G289" s="18"/>
      <c r="H289" s="49"/>
      <c r="I289" s="21"/>
      <c r="J289" s="22"/>
    </row>
    <row r="290" spans="1:10" ht="13.2" x14ac:dyDescent="0.25">
      <c r="A290" s="17"/>
      <c r="B290" s="17"/>
      <c r="D290" s="18"/>
      <c r="E290" s="18"/>
      <c r="F290" s="18"/>
      <c r="G290" s="18"/>
      <c r="H290" s="49"/>
      <c r="I290" s="21"/>
      <c r="J290" s="22"/>
    </row>
    <row r="291" spans="1:10" ht="13.2" x14ac:dyDescent="0.25">
      <c r="A291" s="17"/>
      <c r="B291" s="17"/>
      <c r="D291" s="18"/>
      <c r="E291" s="18"/>
      <c r="F291" s="18"/>
      <c r="G291" s="18"/>
      <c r="H291" s="49"/>
      <c r="I291" s="21"/>
      <c r="J291" s="22"/>
    </row>
    <row r="292" spans="1:10" ht="13.2" x14ac:dyDescent="0.25">
      <c r="A292" s="17"/>
      <c r="B292" s="17"/>
      <c r="D292" s="18"/>
      <c r="E292" s="18"/>
      <c r="F292" s="18"/>
      <c r="G292" s="18"/>
      <c r="H292" s="49"/>
      <c r="I292" s="21"/>
      <c r="J292" s="22"/>
    </row>
    <row r="293" spans="1:10" ht="13.2" x14ac:dyDescent="0.25">
      <c r="A293" s="17"/>
      <c r="B293" s="17"/>
      <c r="D293" s="18"/>
      <c r="E293" s="18"/>
      <c r="F293" s="18"/>
      <c r="G293" s="18"/>
      <c r="H293" s="49"/>
      <c r="I293" s="21"/>
      <c r="J293" s="22"/>
    </row>
    <row r="294" spans="1:10" ht="13.2" x14ac:dyDescent="0.25">
      <c r="A294" s="17"/>
      <c r="B294" s="17"/>
      <c r="D294" s="18"/>
      <c r="E294" s="18"/>
      <c r="F294" s="18"/>
      <c r="G294" s="18"/>
      <c r="H294" s="49"/>
      <c r="I294" s="21"/>
      <c r="J294" s="22"/>
    </row>
    <row r="295" spans="1:10" ht="13.2" x14ac:dyDescent="0.25">
      <c r="A295" s="17"/>
      <c r="B295" s="17"/>
      <c r="D295" s="18"/>
      <c r="E295" s="18"/>
      <c r="F295" s="18"/>
      <c r="G295" s="18"/>
      <c r="H295" s="49"/>
      <c r="I295" s="21"/>
      <c r="J295" s="22"/>
    </row>
    <row r="296" spans="1:10" ht="13.2" x14ac:dyDescent="0.25">
      <c r="A296" s="17"/>
      <c r="B296" s="17"/>
      <c r="D296" s="18"/>
      <c r="E296" s="18"/>
      <c r="F296" s="18"/>
      <c r="G296" s="18"/>
      <c r="H296" s="49"/>
      <c r="I296" s="21"/>
      <c r="J296" s="22"/>
    </row>
    <row r="297" spans="1:10" ht="13.2" x14ac:dyDescent="0.25">
      <c r="A297" s="17"/>
      <c r="B297" s="17"/>
      <c r="D297" s="18"/>
      <c r="E297" s="18"/>
      <c r="F297" s="18"/>
      <c r="G297" s="18"/>
      <c r="H297" s="49"/>
      <c r="I297" s="21"/>
      <c r="J297" s="22"/>
    </row>
    <row r="298" spans="1:10" ht="13.2" x14ac:dyDescent="0.25">
      <c r="A298" s="17"/>
      <c r="B298" s="17"/>
      <c r="D298" s="18"/>
      <c r="E298" s="18"/>
      <c r="F298" s="18"/>
      <c r="G298" s="18"/>
      <c r="H298" s="49"/>
      <c r="I298" s="21"/>
      <c r="J298" s="22"/>
    </row>
    <row r="299" spans="1:10" ht="13.2" x14ac:dyDescent="0.25">
      <c r="A299" s="17"/>
      <c r="B299" s="17"/>
      <c r="D299" s="18"/>
      <c r="E299" s="18"/>
      <c r="F299" s="18"/>
      <c r="G299" s="18"/>
      <c r="H299" s="49"/>
      <c r="I299" s="21"/>
      <c r="J299" s="22"/>
    </row>
    <row r="300" spans="1:10" ht="13.2" x14ac:dyDescent="0.25">
      <c r="A300" s="17"/>
      <c r="B300" s="17"/>
      <c r="D300" s="18"/>
      <c r="E300" s="18"/>
      <c r="F300" s="18"/>
      <c r="G300" s="18"/>
      <c r="H300" s="49"/>
      <c r="I300" s="21"/>
      <c r="J300" s="22"/>
    </row>
    <row r="301" spans="1:10" ht="13.2" x14ac:dyDescent="0.25">
      <c r="A301" s="17"/>
      <c r="B301" s="17"/>
      <c r="D301" s="18"/>
      <c r="E301" s="18"/>
      <c r="F301" s="18"/>
      <c r="G301" s="18"/>
      <c r="H301" s="49"/>
      <c r="I301" s="21"/>
      <c r="J301" s="22"/>
    </row>
    <row r="302" spans="1:10" ht="13.2" x14ac:dyDescent="0.25">
      <c r="A302" s="17"/>
      <c r="B302" s="17"/>
      <c r="D302" s="18"/>
      <c r="E302" s="18"/>
      <c r="F302" s="18"/>
      <c r="G302" s="18"/>
      <c r="H302" s="49"/>
      <c r="I302" s="21"/>
      <c r="J302" s="22"/>
    </row>
    <row r="303" spans="1:10" ht="13.2" x14ac:dyDescent="0.25">
      <c r="A303" s="17"/>
      <c r="B303" s="17"/>
      <c r="D303" s="18"/>
      <c r="E303" s="18"/>
      <c r="F303" s="18"/>
      <c r="G303" s="18"/>
      <c r="H303" s="49"/>
      <c r="I303" s="21"/>
      <c r="J303" s="22"/>
    </row>
    <row r="304" spans="1:10" ht="13.2" x14ac:dyDescent="0.25">
      <c r="A304" s="17"/>
      <c r="B304" s="17"/>
      <c r="D304" s="18"/>
      <c r="E304" s="18"/>
      <c r="F304" s="18"/>
      <c r="G304" s="18"/>
      <c r="H304" s="49"/>
      <c r="I304" s="21"/>
      <c r="J304" s="22"/>
    </row>
    <row r="305" spans="1:10" ht="13.2" x14ac:dyDescent="0.25">
      <c r="A305" s="17"/>
      <c r="B305" s="17"/>
      <c r="D305" s="18"/>
      <c r="E305" s="18"/>
      <c r="F305" s="18"/>
      <c r="G305" s="18"/>
      <c r="H305" s="49"/>
      <c r="I305" s="21"/>
      <c r="J305" s="22"/>
    </row>
    <row r="306" spans="1:10" ht="13.2" x14ac:dyDescent="0.25">
      <c r="A306" s="17"/>
      <c r="B306" s="17"/>
      <c r="D306" s="18"/>
      <c r="E306" s="18"/>
      <c r="F306" s="18"/>
      <c r="G306" s="18"/>
      <c r="H306" s="49"/>
      <c r="I306" s="21"/>
      <c r="J306" s="22"/>
    </row>
    <row r="307" spans="1:10" ht="13.2" x14ac:dyDescent="0.25">
      <c r="A307" s="17"/>
      <c r="B307" s="17"/>
      <c r="D307" s="18"/>
      <c r="E307" s="18"/>
      <c r="F307" s="18"/>
      <c r="G307" s="18"/>
      <c r="H307" s="49"/>
      <c r="I307" s="21"/>
      <c r="J307" s="22"/>
    </row>
    <row r="308" spans="1:10" ht="13.2" x14ac:dyDescent="0.25">
      <c r="A308" s="17"/>
      <c r="B308" s="17"/>
      <c r="D308" s="18"/>
      <c r="E308" s="18"/>
      <c r="F308" s="18"/>
      <c r="G308" s="18"/>
      <c r="H308" s="49"/>
      <c r="I308" s="21"/>
      <c r="J308" s="22"/>
    </row>
    <row r="309" spans="1:10" ht="13.2" x14ac:dyDescent="0.25">
      <c r="A309" s="17"/>
      <c r="B309" s="17"/>
      <c r="D309" s="18"/>
      <c r="E309" s="18"/>
      <c r="F309" s="18"/>
      <c r="G309" s="18"/>
      <c r="H309" s="49"/>
      <c r="I309" s="21"/>
      <c r="J309" s="22"/>
    </row>
    <row r="310" spans="1:10" ht="13.2" x14ac:dyDescent="0.25">
      <c r="A310" s="17"/>
      <c r="B310" s="17"/>
      <c r="D310" s="18"/>
      <c r="E310" s="18"/>
      <c r="F310" s="18"/>
      <c r="G310" s="18"/>
      <c r="H310" s="49"/>
      <c r="I310" s="21"/>
      <c r="J310" s="22"/>
    </row>
    <row r="311" spans="1:10" ht="13.2" x14ac:dyDescent="0.25">
      <c r="A311" s="17"/>
      <c r="B311" s="17"/>
      <c r="D311" s="18"/>
      <c r="E311" s="18"/>
      <c r="F311" s="18"/>
      <c r="G311" s="18"/>
      <c r="H311" s="49"/>
      <c r="I311" s="21"/>
      <c r="J311" s="22"/>
    </row>
    <row r="312" spans="1:10" ht="13.2" x14ac:dyDescent="0.25">
      <c r="A312" s="17"/>
      <c r="B312" s="17"/>
      <c r="D312" s="18"/>
      <c r="E312" s="18"/>
      <c r="F312" s="18"/>
      <c r="G312" s="18"/>
      <c r="H312" s="49"/>
      <c r="I312" s="21"/>
      <c r="J312" s="22"/>
    </row>
    <row r="313" spans="1:10" ht="13.2" x14ac:dyDescent="0.25">
      <c r="A313" s="17"/>
      <c r="B313" s="17"/>
      <c r="D313" s="18"/>
      <c r="E313" s="18"/>
      <c r="F313" s="18"/>
      <c r="G313" s="18"/>
      <c r="H313" s="49"/>
      <c r="I313" s="21"/>
      <c r="J313" s="22"/>
    </row>
    <row r="314" spans="1:10" ht="13.2" x14ac:dyDescent="0.25">
      <c r="A314" s="17"/>
      <c r="B314" s="17"/>
      <c r="D314" s="18"/>
      <c r="E314" s="18"/>
      <c r="F314" s="18"/>
      <c r="G314" s="18"/>
      <c r="H314" s="49"/>
      <c r="I314" s="21"/>
      <c r="J314" s="22"/>
    </row>
    <row r="315" spans="1:10" ht="13.2" x14ac:dyDescent="0.25">
      <c r="A315" s="17"/>
      <c r="B315" s="17"/>
      <c r="D315" s="18"/>
      <c r="E315" s="18"/>
      <c r="F315" s="18"/>
      <c r="G315" s="18"/>
      <c r="H315" s="49"/>
      <c r="I315" s="21"/>
      <c r="J315" s="22"/>
    </row>
    <row r="316" spans="1:10" ht="13.2" x14ac:dyDescent="0.25">
      <c r="A316" s="17"/>
      <c r="B316" s="17"/>
      <c r="D316" s="18"/>
      <c r="E316" s="18"/>
      <c r="F316" s="18"/>
      <c r="G316" s="18"/>
      <c r="H316" s="49"/>
      <c r="I316" s="21"/>
      <c r="J316" s="22"/>
    </row>
    <row r="317" spans="1:10" ht="13.2" x14ac:dyDescent="0.25">
      <c r="A317" s="17"/>
      <c r="B317" s="17"/>
      <c r="D317" s="18"/>
      <c r="E317" s="18"/>
      <c r="F317" s="18"/>
      <c r="G317" s="18"/>
      <c r="H317" s="49"/>
      <c r="I317" s="21"/>
      <c r="J317" s="22"/>
    </row>
    <row r="318" spans="1:10" ht="13.2" x14ac:dyDescent="0.25">
      <c r="A318" s="17"/>
      <c r="B318" s="17"/>
      <c r="D318" s="18"/>
      <c r="E318" s="18"/>
      <c r="F318" s="18"/>
      <c r="G318" s="18"/>
      <c r="H318" s="49"/>
      <c r="I318" s="21"/>
      <c r="J318" s="22"/>
    </row>
    <row r="319" spans="1:10" ht="13.2" x14ac:dyDescent="0.25">
      <c r="A319" s="17"/>
      <c r="B319" s="17"/>
      <c r="D319" s="18"/>
      <c r="E319" s="18"/>
      <c r="F319" s="18"/>
      <c r="G319" s="18"/>
      <c r="H319" s="49"/>
      <c r="I319" s="21"/>
      <c r="J319" s="22"/>
    </row>
    <row r="320" spans="1:10" ht="13.2" x14ac:dyDescent="0.25">
      <c r="A320" s="17"/>
      <c r="B320" s="17"/>
      <c r="D320" s="18"/>
      <c r="E320" s="18"/>
      <c r="F320" s="18"/>
      <c r="G320" s="18"/>
      <c r="H320" s="49"/>
      <c r="I320" s="21"/>
      <c r="J320" s="22"/>
    </row>
    <row r="321" spans="1:10" ht="13.2" x14ac:dyDescent="0.25">
      <c r="A321" s="17"/>
      <c r="B321" s="17"/>
      <c r="D321" s="18"/>
      <c r="E321" s="18"/>
      <c r="F321" s="18"/>
      <c r="G321" s="18"/>
      <c r="H321" s="49"/>
      <c r="I321" s="21"/>
      <c r="J321" s="22"/>
    </row>
    <row r="322" spans="1:10" ht="13.2" x14ac:dyDescent="0.25">
      <c r="A322" s="17"/>
      <c r="B322" s="17"/>
      <c r="D322" s="18"/>
      <c r="E322" s="18"/>
      <c r="F322" s="18"/>
      <c r="G322" s="18"/>
      <c r="H322" s="49"/>
      <c r="I322" s="21"/>
      <c r="J322" s="22"/>
    </row>
    <row r="323" spans="1:10" ht="13.2" x14ac:dyDescent="0.25">
      <c r="A323" s="17"/>
      <c r="B323" s="17"/>
      <c r="D323" s="18"/>
      <c r="E323" s="18"/>
      <c r="F323" s="18"/>
      <c r="G323" s="18"/>
      <c r="H323" s="49"/>
      <c r="I323" s="21"/>
      <c r="J323" s="22"/>
    </row>
    <row r="324" spans="1:10" ht="13.2" x14ac:dyDescent="0.25">
      <c r="A324" s="17"/>
      <c r="B324" s="17"/>
      <c r="D324" s="18"/>
      <c r="E324" s="18"/>
      <c r="F324" s="18"/>
      <c r="G324" s="18"/>
      <c r="H324" s="49"/>
      <c r="I324" s="21"/>
      <c r="J324" s="22"/>
    </row>
    <row r="325" spans="1:10" ht="13.2" x14ac:dyDescent="0.25">
      <c r="A325" s="17"/>
      <c r="B325" s="17"/>
      <c r="D325" s="18"/>
      <c r="E325" s="18"/>
      <c r="F325" s="18"/>
      <c r="G325" s="18"/>
      <c r="H325" s="49"/>
      <c r="I325" s="21"/>
      <c r="J325" s="22"/>
    </row>
    <row r="326" spans="1:10" ht="13.2" x14ac:dyDescent="0.25">
      <c r="A326" s="17"/>
      <c r="B326" s="17"/>
      <c r="D326" s="18"/>
      <c r="E326" s="18"/>
      <c r="F326" s="18"/>
      <c r="G326" s="18"/>
      <c r="H326" s="49"/>
      <c r="I326" s="21"/>
      <c r="J326" s="22"/>
    </row>
    <row r="327" spans="1:10" ht="13.2" x14ac:dyDescent="0.25">
      <c r="A327" s="17"/>
      <c r="B327" s="17"/>
      <c r="D327" s="18"/>
      <c r="E327" s="18"/>
      <c r="F327" s="18"/>
      <c r="G327" s="18"/>
      <c r="H327" s="49"/>
      <c r="I327" s="21"/>
      <c r="J327" s="22"/>
    </row>
    <row r="328" spans="1:10" ht="13.2" x14ac:dyDescent="0.25">
      <c r="A328" s="17"/>
      <c r="B328" s="17"/>
      <c r="D328" s="18"/>
      <c r="E328" s="18"/>
      <c r="F328" s="18"/>
      <c r="G328" s="18"/>
      <c r="H328" s="49"/>
      <c r="I328" s="21"/>
      <c r="J328" s="22"/>
    </row>
    <row r="329" spans="1:10" ht="13.2" x14ac:dyDescent="0.25">
      <c r="A329" s="17"/>
      <c r="B329" s="17"/>
      <c r="D329" s="18"/>
      <c r="E329" s="18"/>
      <c r="F329" s="18"/>
      <c r="G329" s="18"/>
      <c r="H329" s="49"/>
      <c r="I329" s="21"/>
      <c r="J329" s="22"/>
    </row>
    <row r="330" spans="1:10" ht="13.2" x14ac:dyDescent="0.25">
      <c r="A330" s="17"/>
      <c r="B330" s="17"/>
      <c r="D330" s="18"/>
      <c r="E330" s="18"/>
      <c r="F330" s="18"/>
      <c r="G330" s="18"/>
      <c r="H330" s="49"/>
      <c r="I330" s="21"/>
      <c r="J330" s="22"/>
    </row>
    <row r="331" spans="1:10" ht="13.2" x14ac:dyDescent="0.25">
      <c r="A331" s="17"/>
      <c r="B331" s="17"/>
      <c r="D331" s="18"/>
      <c r="E331" s="18"/>
      <c r="F331" s="18"/>
      <c r="G331" s="18"/>
      <c r="H331" s="49"/>
      <c r="I331" s="21"/>
      <c r="J331" s="22"/>
    </row>
    <row r="332" spans="1:10" ht="13.2" x14ac:dyDescent="0.25">
      <c r="A332" s="17"/>
      <c r="B332" s="17"/>
      <c r="D332" s="18"/>
      <c r="E332" s="18"/>
      <c r="F332" s="18"/>
      <c r="G332" s="18"/>
      <c r="H332" s="49"/>
      <c r="I332" s="21"/>
      <c r="J332" s="22"/>
    </row>
    <row r="333" spans="1:10" ht="13.2" x14ac:dyDescent="0.25">
      <c r="A333" s="17"/>
      <c r="B333" s="17"/>
      <c r="D333" s="18"/>
      <c r="E333" s="18"/>
      <c r="F333" s="18"/>
      <c r="G333" s="18"/>
      <c r="H333" s="49"/>
      <c r="I333" s="21"/>
      <c r="J333" s="22"/>
    </row>
    <row r="334" spans="1:10" ht="13.2" x14ac:dyDescent="0.25">
      <c r="A334" s="17"/>
      <c r="B334" s="17"/>
      <c r="D334" s="18"/>
      <c r="E334" s="18"/>
      <c r="F334" s="18"/>
      <c r="G334" s="18"/>
      <c r="H334" s="49"/>
      <c r="I334" s="21"/>
      <c r="J334" s="22"/>
    </row>
    <row r="335" spans="1:10" ht="13.2" x14ac:dyDescent="0.25">
      <c r="A335" s="17"/>
      <c r="B335" s="17"/>
      <c r="D335" s="18"/>
      <c r="E335" s="18"/>
      <c r="F335" s="18"/>
      <c r="G335" s="18"/>
      <c r="H335" s="49"/>
      <c r="I335" s="21"/>
      <c r="J335" s="22"/>
    </row>
    <row r="336" spans="1:10" ht="13.2" x14ac:dyDescent="0.25">
      <c r="A336" s="17"/>
      <c r="B336" s="17"/>
      <c r="D336" s="18"/>
      <c r="E336" s="18"/>
      <c r="F336" s="18"/>
      <c r="G336" s="18"/>
      <c r="H336" s="49"/>
      <c r="I336" s="21"/>
      <c r="J336" s="22"/>
    </row>
    <row r="337" spans="1:10" ht="13.2" x14ac:dyDescent="0.25">
      <c r="A337" s="17"/>
      <c r="B337" s="17"/>
      <c r="D337" s="18"/>
      <c r="E337" s="18"/>
      <c r="F337" s="18"/>
      <c r="G337" s="18"/>
      <c r="H337" s="49"/>
      <c r="I337" s="21"/>
      <c r="J337" s="22"/>
    </row>
    <row r="338" spans="1:10" ht="13.2" x14ac:dyDescent="0.25">
      <c r="A338" s="17"/>
      <c r="B338" s="17"/>
      <c r="D338" s="18"/>
      <c r="E338" s="18"/>
      <c r="F338" s="18"/>
      <c r="G338" s="18"/>
      <c r="H338" s="49"/>
      <c r="I338" s="21"/>
      <c r="J338" s="22"/>
    </row>
    <row r="339" spans="1:10" ht="13.2" x14ac:dyDescent="0.25">
      <c r="A339" s="17"/>
      <c r="B339" s="17"/>
      <c r="D339" s="18"/>
      <c r="E339" s="18"/>
      <c r="F339" s="18"/>
      <c r="G339" s="18"/>
      <c r="H339" s="49"/>
      <c r="I339" s="21"/>
      <c r="J339" s="22"/>
    </row>
    <row r="340" spans="1:10" ht="13.2" x14ac:dyDescent="0.25">
      <c r="A340" s="17"/>
      <c r="B340" s="17"/>
      <c r="D340" s="18"/>
      <c r="E340" s="18"/>
      <c r="F340" s="18"/>
      <c r="G340" s="18"/>
      <c r="H340" s="49"/>
      <c r="I340" s="21"/>
      <c r="J340" s="22"/>
    </row>
    <row r="341" spans="1:10" ht="13.2" x14ac:dyDescent="0.25">
      <c r="A341" s="17"/>
      <c r="B341" s="17"/>
      <c r="D341" s="18"/>
      <c r="E341" s="18"/>
      <c r="F341" s="18"/>
      <c r="G341" s="18"/>
      <c r="H341" s="49"/>
      <c r="I341" s="21"/>
      <c r="J341" s="22"/>
    </row>
    <row r="342" spans="1:10" ht="13.2" x14ac:dyDescent="0.25">
      <c r="A342" s="17"/>
      <c r="B342" s="17"/>
      <c r="D342" s="18"/>
      <c r="E342" s="18"/>
      <c r="F342" s="18"/>
      <c r="G342" s="18"/>
      <c r="H342" s="49"/>
      <c r="I342" s="21"/>
      <c r="J342" s="22"/>
    </row>
    <row r="343" spans="1:10" ht="13.2" x14ac:dyDescent="0.25">
      <c r="A343" s="17"/>
      <c r="B343" s="17"/>
      <c r="D343" s="18"/>
      <c r="E343" s="18"/>
      <c r="F343" s="18"/>
      <c r="G343" s="18"/>
      <c r="H343" s="49"/>
      <c r="I343" s="21"/>
      <c r="J343" s="22"/>
    </row>
    <row r="344" spans="1:10" ht="13.2" x14ac:dyDescent="0.25">
      <c r="A344" s="17"/>
      <c r="B344" s="17"/>
      <c r="D344" s="18"/>
      <c r="E344" s="18"/>
      <c r="F344" s="18"/>
      <c r="G344" s="18"/>
      <c r="H344" s="49"/>
      <c r="I344" s="21"/>
      <c r="J344" s="22"/>
    </row>
    <row r="345" spans="1:10" ht="13.2" x14ac:dyDescent="0.25">
      <c r="A345" s="17"/>
      <c r="B345" s="17"/>
      <c r="D345" s="18"/>
      <c r="E345" s="18"/>
      <c r="F345" s="18"/>
      <c r="G345" s="18"/>
      <c r="H345" s="49"/>
      <c r="I345" s="21"/>
      <c r="J345" s="22"/>
    </row>
    <row r="346" spans="1:10" ht="13.2" x14ac:dyDescent="0.25">
      <c r="A346" s="17"/>
      <c r="B346" s="17"/>
      <c r="D346" s="18"/>
      <c r="E346" s="18"/>
      <c r="F346" s="18"/>
      <c r="G346" s="18"/>
      <c r="H346" s="49"/>
      <c r="I346" s="21"/>
      <c r="J346" s="22"/>
    </row>
    <row r="347" spans="1:10" ht="13.2" x14ac:dyDescent="0.25">
      <c r="A347" s="17"/>
      <c r="B347" s="17"/>
      <c r="D347" s="18"/>
      <c r="E347" s="18"/>
      <c r="F347" s="18"/>
      <c r="G347" s="18"/>
      <c r="H347" s="49"/>
      <c r="I347" s="21"/>
      <c r="J347" s="22"/>
    </row>
    <row r="348" spans="1:10" ht="13.2" x14ac:dyDescent="0.25">
      <c r="A348" s="17"/>
      <c r="B348" s="17"/>
      <c r="D348" s="18"/>
      <c r="E348" s="18"/>
      <c r="F348" s="18"/>
      <c r="G348" s="18"/>
      <c r="H348" s="49"/>
      <c r="I348" s="21"/>
      <c r="J348" s="22"/>
    </row>
    <row r="349" spans="1:10" ht="13.2" x14ac:dyDescent="0.25">
      <c r="A349" s="17"/>
      <c r="B349" s="17"/>
      <c r="D349" s="18"/>
      <c r="E349" s="18"/>
      <c r="F349" s="18"/>
      <c r="G349" s="18"/>
      <c r="H349" s="49"/>
      <c r="I349" s="21"/>
      <c r="J349" s="22"/>
    </row>
    <row r="350" spans="1:10" ht="13.2" x14ac:dyDescent="0.25">
      <c r="A350" s="17"/>
      <c r="B350" s="17"/>
      <c r="D350" s="18"/>
      <c r="E350" s="18"/>
      <c r="F350" s="18"/>
      <c r="G350" s="18"/>
      <c r="H350" s="49"/>
      <c r="I350" s="21"/>
      <c r="J350" s="22"/>
    </row>
    <row r="351" spans="1:10" ht="13.2" x14ac:dyDescent="0.25">
      <c r="A351" s="17"/>
      <c r="B351" s="17"/>
      <c r="D351" s="18"/>
      <c r="E351" s="18"/>
      <c r="F351" s="18"/>
      <c r="G351" s="18"/>
      <c r="H351" s="49"/>
      <c r="I351" s="21"/>
      <c r="J351" s="22"/>
    </row>
    <row r="352" spans="1:10" ht="13.2" x14ac:dyDescent="0.25">
      <c r="A352" s="17"/>
      <c r="B352" s="17"/>
      <c r="D352" s="18"/>
      <c r="E352" s="18"/>
      <c r="F352" s="18"/>
      <c r="G352" s="18"/>
      <c r="H352" s="49"/>
      <c r="I352" s="21"/>
      <c r="J352" s="22"/>
    </row>
    <row r="353" spans="1:10" ht="13.2" x14ac:dyDescent="0.25">
      <c r="A353" s="17"/>
      <c r="B353" s="17"/>
      <c r="D353" s="18"/>
      <c r="E353" s="18"/>
      <c r="F353" s="18"/>
      <c r="G353" s="18"/>
      <c r="H353" s="49"/>
      <c r="I353" s="21"/>
      <c r="J353" s="22"/>
    </row>
    <row r="354" spans="1:10" ht="13.2" x14ac:dyDescent="0.25">
      <c r="A354" s="17"/>
      <c r="B354" s="17"/>
      <c r="D354" s="18"/>
      <c r="E354" s="18"/>
      <c r="F354" s="18"/>
      <c r="G354" s="18"/>
      <c r="H354" s="49"/>
      <c r="I354" s="21"/>
      <c r="J354" s="22"/>
    </row>
    <row r="355" spans="1:10" ht="13.2" x14ac:dyDescent="0.25">
      <c r="A355" s="17"/>
      <c r="B355" s="17"/>
      <c r="D355" s="18"/>
      <c r="E355" s="18"/>
      <c r="F355" s="18"/>
      <c r="G355" s="18"/>
      <c r="H355" s="49"/>
      <c r="I355" s="21"/>
      <c r="J355" s="22"/>
    </row>
    <row r="356" spans="1:10" ht="13.2" x14ac:dyDescent="0.25">
      <c r="A356" s="17"/>
      <c r="B356" s="17"/>
      <c r="D356" s="18"/>
      <c r="E356" s="18"/>
      <c r="F356" s="18"/>
      <c r="G356" s="18"/>
      <c r="H356" s="49"/>
      <c r="I356" s="21"/>
      <c r="J356" s="22"/>
    </row>
    <row r="357" spans="1:10" ht="13.2" x14ac:dyDescent="0.25">
      <c r="A357" s="17"/>
      <c r="B357" s="17"/>
      <c r="D357" s="18"/>
      <c r="E357" s="18"/>
      <c r="F357" s="18"/>
      <c r="G357" s="18"/>
      <c r="H357" s="49"/>
      <c r="I357" s="21"/>
      <c r="J357" s="22"/>
    </row>
    <row r="358" spans="1:10" ht="13.2" x14ac:dyDescent="0.25">
      <c r="A358" s="17"/>
      <c r="B358" s="17"/>
      <c r="D358" s="18"/>
      <c r="E358" s="18"/>
      <c r="F358" s="18"/>
      <c r="G358" s="18"/>
      <c r="H358" s="49"/>
      <c r="I358" s="21"/>
      <c r="J358" s="22"/>
    </row>
    <row r="359" spans="1:10" ht="13.2" x14ac:dyDescent="0.25">
      <c r="A359" s="17"/>
      <c r="B359" s="17"/>
      <c r="D359" s="18"/>
      <c r="E359" s="18"/>
      <c r="F359" s="18"/>
      <c r="G359" s="18"/>
      <c r="H359" s="49"/>
      <c r="I359" s="21"/>
      <c r="J359" s="22"/>
    </row>
    <row r="360" spans="1:10" ht="13.2" x14ac:dyDescent="0.25">
      <c r="A360" s="17"/>
      <c r="B360" s="17"/>
      <c r="D360" s="18"/>
      <c r="E360" s="18"/>
      <c r="F360" s="18"/>
      <c r="G360" s="18"/>
      <c r="H360" s="49"/>
      <c r="I360" s="21"/>
      <c r="J360" s="22"/>
    </row>
    <row r="361" spans="1:10" ht="13.2" x14ac:dyDescent="0.25">
      <c r="A361" s="17"/>
      <c r="B361" s="17"/>
      <c r="D361" s="18"/>
      <c r="E361" s="18"/>
      <c r="F361" s="18"/>
      <c r="G361" s="18"/>
      <c r="H361" s="49"/>
      <c r="I361" s="21"/>
      <c r="J361" s="22"/>
    </row>
    <row r="362" spans="1:10" ht="13.2" x14ac:dyDescent="0.25">
      <c r="A362" s="17"/>
      <c r="B362" s="17"/>
      <c r="D362" s="18"/>
      <c r="E362" s="18"/>
      <c r="F362" s="18"/>
      <c r="G362" s="18"/>
      <c r="H362" s="49"/>
      <c r="I362" s="21"/>
      <c r="J362" s="22"/>
    </row>
    <row r="363" spans="1:10" ht="13.2" x14ac:dyDescent="0.25">
      <c r="A363" s="17"/>
      <c r="B363" s="17"/>
      <c r="D363" s="18"/>
      <c r="E363" s="18"/>
      <c r="F363" s="18"/>
      <c r="G363" s="18"/>
      <c r="H363" s="49"/>
      <c r="I363" s="21"/>
      <c r="J363" s="22"/>
    </row>
    <row r="364" spans="1:10" ht="13.2" x14ac:dyDescent="0.25">
      <c r="A364" s="17"/>
      <c r="B364" s="17"/>
      <c r="D364" s="18"/>
      <c r="E364" s="18"/>
      <c r="F364" s="18"/>
      <c r="G364" s="18"/>
      <c r="H364" s="49"/>
      <c r="I364" s="21"/>
      <c r="J364" s="22"/>
    </row>
    <row r="365" spans="1:10" ht="13.2" x14ac:dyDescent="0.25">
      <c r="A365" s="17"/>
      <c r="B365" s="17"/>
      <c r="D365" s="18"/>
      <c r="E365" s="18"/>
      <c r="F365" s="18"/>
      <c r="G365" s="18"/>
      <c r="H365" s="49"/>
      <c r="I365" s="21"/>
      <c r="J365" s="22"/>
    </row>
    <row r="366" spans="1:10" ht="13.2" x14ac:dyDescent="0.25">
      <c r="A366" s="17"/>
      <c r="B366" s="17"/>
      <c r="D366" s="18"/>
      <c r="E366" s="18"/>
      <c r="F366" s="18"/>
      <c r="G366" s="18"/>
      <c r="H366" s="49"/>
      <c r="I366" s="21"/>
      <c r="J366" s="22"/>
    </row>
    <row r="367" spans="1:10" ht="13.2" x14ac:dyDescent="0.25">
      <c r="A367" s="17"/>
      <c r="B367" s="17"/>
      <c r="D367" s="18"/>
      <c r="E367" s="18"/>
      <c r="F367" s="18"/>
      <c r="G367" s="18"/>
      <c r="H367" s="49"/>
      <c r="I367" s="21"/>
      <c r="J367" s="22"/>
    </row>
    <row r="368" spans="1:10" ht="13.2" x14ac:dyDescent="0.25">
      <c r="A368" s="17"/>
      <c r="B368" s="17"/>
      <c r="D368" s="18"/>
      <c r="E368" s="18"/>
      <c r="F368" s="18"/>
      <c r="G368" s="18"/>
      <c r="H368" s="49"/>
      <c r="I368" s="21"/>
      <c r="J368" s="22"/>
    </row>
    <row r="369" spans="1:10" ht="13.2" x14ac:dyDescent="0.25">
      <c r="A369" s="17"/>
      <c r="B369" s="17"/>
      <c r="D369" s="18"/>
      <c r="E369" s="18"/>
      <c r="F369" s="18"/>
      <c r="G369" s="18"/>
      <c r="H369" s="49"/>
      <c r="I369" s="21"/>
      <c r="J369" s="22"/>
    </row>
    <row r="370" spans="1:10" ht="13.2" x14ac:dyDescent="0.25">
      <c r="A370" s="17"/>
      <c r="B370" s="17"/>
      <c r="D370" s="18"/>
      <c r="E370" s="18"/>
      <c r="F370" s="18"/>
      <c r="G370" s="18"/>
      <c r="H370" s="49"/>
      <c r="I370" s="21"/>
      <c r="J370" s="22"/>
    </row>
    <row r="371" spans="1:10" ht="13.2" x14ac:dyDescent="0.25">
      <c r="A371" s="17"/>
      <c r="B371" s="17"/>
      <c r="D371" s="18"/>
      <c r="E371" s="18"/>
      <c r="F371" s="18"/>
      <c r="G371" s="18"/>
      <c r="H371" s="49"/>
      <c r="I371" s="21"/>
      <c r="J371" s="22"/>
    </row>
    <row r="372" spans="1:10" ht="13.2" x14ac:dyDescent="0.25">
      <c r="A372" s="17"/>
      <c r="B372" s="17"/>
      <c r="D372" s="18"/>
      <c r="E372" s="18"/>
      <c r="F372" s="18"/>
      <c r="G372" s="18"/>
      <c r="H372" s="49"/>
      <c r="I372" s="21"/>
      <c r="J372" s="22"/>
    </row>
    <row r="373" spans="1:10" ht="13.2" x14ac:dyDescent="0.25">
      <c r="A373" s="17"/>
      <c r="B373" s="17"/>
      <c r="D373" s="18"/>
      <c r="E373" s="18"/>
      <c r="F373" s="18"/>
      <c r="G373" s="18"/>
      <c r="H373" s="49"/>
      <c r="I373" s="21"/>
      <c r="J373" s="22"/>
    </row>
    <row r="374" spans="1:10" ht="13.2" x14ac:dyDescent="0.25">
      <c r="A374" s="17"/>
      <c r="B374" s="17"/>
      <c r="D374" s="18"/>
      <c r="E374" s="18"/>
      <c r="F374" s="18"/>
      <c r="G374" s="18"/>
      <c r="H374" s="49"/>
      <c r="I374" s="21"/>
      <c r="J374" s="22"/>
    </row>
    <row r="375" spans="1:10" ht="13.2" x14ac:dyDescent="0.25">
      <c r="A375" s="17"/>
      <c r="B375" s="17"/>
      <c r="D375" s="18"/>
      <c r="E375" s="18"/>
      <c r="F375" s="18"/>
      <c r="G375" s="18"/>
      <c r="H375" s="49"/>
      <c r="I375" s="21"/>
      <c r="J375" s="22"/>
    </row>
    <row r="376" spans="1:10" ht="13.2" x14ac:dyDescent="0.25">
      <c r="A376" s="17"/>
      <c r="B376" s="17"/>
      <c r="D376" s="18"/>
      <c r="E376" s="18"/>
      <c r="F376" s="18"/>
      <c r="G376" s="18"/>
      <c r="H376" s="49"/>
      <c r="I376" s="21"/>
      <c r="J376" s="22"/>
    </row>
    <row r="377" spans="1:10" ht="13.2" x14ac:dyDescent="0.25">
      <c r="A377" s="17"/>
      <c r="B377" s="17"/>
      <c r="D377" s="18"/>
      <c r="E377" s="18"/>
      <c r="F377" s="18"/>
      <c r="G377" s="18"/>
      <c r="H377" s="49"/>
      <c r="I377" s="21"/>
      <c r="J377" s="22"/>
    </row>
    <row r="378" spans="1:10" ht="13.2" x14ac:dyDescent="0.25">
      <c r="A378" s="17"/>
      <c r="B378" s="17"/>
      <c r="D378" s="18"/>
      <c r="E378" s="18"/>
      <c r="F378" s="18"/>
      <c r="G378" s="18"/>
      <c r="H378" s="49"/>
      <c r="I378" s="21"/>
      <c r="J378" s="22"/>
    </row>
    <row r="379" spans="1:10" ht="13.2" x14ac:dyDescent="0.25">
      <c r="A379" s="17"/>
      <c r="B379" s="17"/>
      <c r="D379" s="18"/>
      <c r="E379" s="18"/>
      <c r="F379" s="18"/>
      <c r="G379" s="18"/>
      <c r="H379" s="49"/>
      <c r="I379" s="21"/>
      <c r="J379" s="22"/>
    </row>
    <row r="380" spans="1:10" ht="13.2" x14ac:dyDescent="0.25">
      <c r="A380" s="17"/>
      <c r="B380" s="17"/>
      <c r="D380" s="18"/>
      <c r="E380" s="18"/>
      <c r="F380" s="18"/>
      <c r="G380" s="18"/>
      <c r="H380" s="49"/>
      <c r="I380" s="21"/>
      <c r="J380" s="22"/>
    </row>
    <row r="381" spans="1:10" ht="13.2" x14ac:dyDescent="0.25">
      <c r="A381" s="17"/>
      <c r="B381" s="17"/>
      <c r="D381" s="18"/>
      <c r="E381" s="18"/>
      <c r="F381" s="18"/>
      <c r="G381" s="18"/>
      <c r="H381" s="49"/>
      <c r="I381" s="21"/>
      <c r="J381" s="22"/>
    </row>
    <row r="382" spans="1:10" ht="13.2" x14ac:dyDescent="0.25">
      <c r="A382" s="17"/>
      <c r="B382" s="17"/>
      <c r="D382" s="18"/>
      <c r="E382" s="18"/>
      <c r="F382" s="18"/>
      <c r="G382" s="18"/>
      <c r="H382" s="49"/>
      <c r="I382" s="21"/>
      <c r="J382" s="22"/>
    </row>
    <row r="383" spans="1:10" ht="13.2" x14ac:dyDescent="0.25">
      <c r="A383" s="17"/>
      <c r="B383" s="17"/>
      <c r="D383" s="18"/>
      <c r="E383" s="18"/>
      <c r="F383" s="18"/>
      <c r="G383" s="18"/>
      <c r="H383" s="49"/>
      <c r="I383" s="21"/>
      <c r="J383" s="22"/>
    </row>
    <row r="384" spans="1:10" ht="13.2" x14ac:dyDescent="0.25">
      <c r="A384" s="17"/>
      <c r="B384" s="17"/>
      <c r="D384" s="18"/>
      <c r="E384" s="18"/>
      <c r="F384" s="18"/>
      <c r="G384" s="18"/>
      <c r="H384" s="49"/>
      <c r="I384" s="21"/>
      <c r="J384" s="22"/>
    </row>
    <row r="385" spans="1:10" ht="13.2" x14ac:dyDescent="0.25">
      <c r="A385" s="17"/>
      <c r="B385" s="17"/>
      <c r="D385" s="18"/>
      <c r="E385" s="18"/>
      <c r="F385" s="18"/>
      <c r="G385" s="18"/>
      <c r="H385" s="49"/>
      <c r="I385" s="21"/>
      <c r="J385" s="22"/>
    </row>
    <row r="386" spans="1:10" ht="13.2" x14ac:dyDescent="0.25">
      <c r="A386" s="17"/>
      <c r="B386" s="17"/>
      <c r="D386" s="18"/>
      <c r="E386" s="18"/>
      <c r="F386" s="18"/>
      <c r="G386" s="18"/>
      <c r="H386" s="49"/>
      <c r="I386" s="21"/>
      <c r="J386" s="22"/>
    </row>
    <row r="387" spans="1:10" ht="13.2" x14ac:dyDescent="0.25">
      <c r="A387" s="17"/>
      <c r="B387" s="17"/>
      <c r="D387" s="18"/>
      <c r="E387" s="18"/>
      <c r="F387" s="18"/>
      <c r="G387" s="18"/>
      <c r="H387" s="49"/>
      <c r="I387" s="21"/>
      <c r="J387" s="22"/>
    </row>
    <row r="388" spans="1:10" ht="13.2" x14ac:dyDescent="0.25">
      <c r="A388" s="17"/>
      <c r="B388" s="17"/>
      <c r="D388" s="18"/>
      <c r="E388" s="18"/>
      <c r="F388" s="18"/>
      <c r="G388" s="18"/>
      <c r="H388" s="49"/>
      <c r="I388" s="21"/>
      <c r="J388" s="22"/>
    </row>
    <row r="389" spans="1:10" ht="13.2" x14ac:dyDescent="0.25">
      <c r="A389" s="17"/>
      <c r="B389" s="17"/>
      <c r="D389" s="18"/>
      <c r="E389" s="18"/>
      <c r="F389" s="18"/>
      <c r="G389" s="18"/>
      <c r="H389" s="49"/>
      <c r="I389" s="21"/>
      <c r="J389" s="22"/>
    </row>
    <row r="390" spans="1:10" ht="13.2" x14ac:dyDescent="0.25">
      <c r="A390" s="17"/>
      <c r="B390" s="17"/>
      <c r="D390" s="18"/>
      <c r="E390" s="18"/>
      <c r="F390" s="18"/>
      <c r="G390" s="18"/>
      <c r="H390" s="49"/>
      <c r="I390" s="21"/>
      <c r="J390" s="22"/>
    </row>
    <row r="391" spans="1:10" ht="13.2" x14ac:dyDescent="0.25">
      <c r="A391" s="17"/>
      <c r="B391" s="17"/>
      <c r="D391" s="18"/>
      <c r="E391" s="18"/>
      <c r="F391" s="18"/>
      <c r="G391" s="18"/>
      <c r="H391" s="49"/>
      <c r="I391" s="21"/>
      <c r="J391" s="22"/>
    </row>
    <row r="392" spans="1:10" ht="13.2" x14ac:dyDescent="0.25">
      <c r="A392" s="17"/>
      <c r="B392" s="17"/>
      <c r="D392" s="18"/>
      <c r="E392" s="18"/>
      <c r="F392" s="18"/>
      <c r="G392" s="18"/>
      <c r="H392" s="49"/>
      <c r="I392" s="21"/>
      <c r="J392" s="22"/>
    </row>
    <row r="393" spans="1:10" ht="13.2" x14ac:dyDescent="0.25">
      <c r="A393" s="17"/>
      <c r="B393" s="17"/>
      <c r="D393" s="18"/>
      <c r="E393" s="18"/>
      <c r="F393" s="18"/>
      <c r="G393" s="18"/>
      <c r="H393" s="49"/>
      <c r="I393" s="21"/>
      <c r="J393" s="22"/>
    </row>
    <row r="394" spans="1:10" ht="13.2" x14ac:dyDescent="0.25">
      <c r="A394" s="17"/>
      <c r="B394" s="17"/>
      <c r="D394" s="18"/>
      <c r="E394" s="18"/>
      <c r="F394" s="18"/>
      <c r="G394" s="18"/>
      <c r="H394" s="49"/>
      <c r="I394" s="21"/>
      <c r="J394" s="22"/>
    </row>
    <row r="395" spans="1:10" ht="13.2" x14ac:dyDescent="0.25">
      <c r="A395" s="17"/>
      <c r="B395" s="17"/>
      <c r="D395" s="18"/>
      <c r="E395" s="18"/>
      <c r="F395" s="18"/>
      <c r="G395" s="18"/>
      <c r="H395" s="49"/>
      <c r="I395" s="21"/>
      <c r="J395" s="22"/>
    </row>
    <row r="396" spans="1:10" ht="13.2" x14ac:dyDescent="0.25">
      <c r="A396" s="17"/>
      <c r="B396" s="17"/>
      <c r="D396" s="18"/>
      <c r="E396" s="18"/>
      <c r="F396" s="18"/>
      <c r="G396" s="18"/>
      <c r="H396" s="49"/>
      <c r="I396" s="21"/>
      <c r="J396" s="22"/>
    </row>
    <row r="397" spans="1:10" ht="13.2" x14ac:dyDescent="0.25">
      <c r="A397" s="17"/>
      <c r="B397" s="17"/>
      <c r="D397" s="18"/>
      <c r="E397" s="18"/>
      <c r="F397" s="18"/>
      <c r="G397" s="18"/>
      <c r="H397" s="49"/>
      <c r="I397" s="21"/>
      <c r="J397" s="22"/>
    </row>
    <row r="398" spans="1:10" ht="13.2" x14ac:dyDescent="0.25">
      <c r="A398" s="17"/>
      <c r="B398" s="17"/>
      <c r="D398" s="18"/>
      <c r="E398" s="18"/>
      <c r="F398" s="18"/>
      <c r="G398" s="18"/>
      <c r="H398" s="49"/>
      <c r="I398" s="21"/>
      <c r="J398" s="22"/>
    </row>
    <row r="399" spans="1:10" ht="13.2" x14ac:dyDescent="0.25">
      <c r="A399" s="17"/>
      <c r="B399" s="17"/>
      <c r="D399" s="18"/>
      <c r="E399" s="18"/>
      <c r="F399" s="18"/>
      <c r="G399" s="18"/>
      <c r="H399" s="49"/>
      <c r="I399" s="21"/>
      <c r="J399" s="22"/>
    </row>
    <row r="400" spans="1:10" ht="13.2" x14ac:dyDescent="0.25">
      <c r="A400" s="17"/>
      <c r="B400" s="17"/>
      <c r="D400" s="18"/>
      <c r="E400" s="18"/>
      <c r="F400" s="18"/>
      <c r="G400" s="18"/>
      <c r="H400" s="49"/>
      <c r="I400" s="21"/>
      <c r="J400" s="22"/>
    </row>
    <row r="401" spans="1:10" ht="13.2" x14ac:dyDescent="0.25">
      <c r="A401" s="17"/>
      <c r="B401" s="17"/>
      <c r="D401" s="18"/>
      <c r="E401" s="18"/>
      <c r="F401" s="18"/>
      <c r="G401" s="18"/>
      <c r="H401" s="49"/>
      <c r="I401" s="21"/>
      <c r="J401" s="22"/>
    </row>
    <row r="402" spans="1:10" ht="13.2" x14ac:dyDescent="0.25">
      <c r="A402" s="17"/>
      <c r="B402" s="17"/>
      <c r="D402" s="18"/>
      <c r="E402" s="18"/>
      <c r="F402" s="18"/>
      <c r="G402" s="18"/>
      <c r="H402" s="49"/>
      <c r="I402" s="21"/>
      <c r="J402" s="22"/>
    </row>
    <row r="403" spans="1:10" ht="13.2" x14ac:dyDescent="0.25">
      <c r="A403" s="17"/>
      <c r="B403" s="17"/>
      <c r="D403" s="18"/>
      <c r="E403" s="18"/>
      <c r="F403" s="18"/>
      <c r="G403" s="18"/>
      <c r="H403" s="49"/>
      <c r="I403" s="21"/>
      <c r="J403" s="22"/>
    </row>
    <row r="404" spans="1:10" ht="13.2" x14ac:dyDescent="0.25">
      <c r="A404" s="17"/>
      <c r="B404" s="17"/>
      <c r="D404" s="18"/>
      <c r="E404" s="18"/>
      <c r="F404" s="18"/>
      <c r="G404" s="18"/>
      <c r="H404" s="49"/>
      <c r="I404" s="21"/>
      <c r="J404" s="22"/>
    </row>
    <row r="405" spans="1:10" ht="13.2" x14ac:dyDescent="0.25">
      <c r="A405" s="17"/>
      <c r="B405" s="17"/>
      <c r="D405" s="18"/>
      <c r="E405" s="18"/>
      <c r="F405" s="18"/>
      <c r="G405" s="18"/>
      <c r="H405" s="49"/>
      <c r="I405" s="21"/>
      <c r="J405" s="22"/>
    </row>
    <row r="406" spans="1:10" ht="13.2" x14ac:dyDescent="0.25">
      <c r="A406" s="17"/>
      <c r="B406" s="17"/>
      <c r="D406" s="18"/>
      <c r="E406" s="18"/>
      <c r="F406" s="18"/>
      <c r="G406" s="18"/>
      <c r="H406" s="49"/>
      <c r="I406" s="21"/>
      <c r="J406" s="22"/>
    </row>
    <row r="407" spans="1:10" ht="13.2" x14ac:dyDescent="0.25">
      <c r="A407" s="17"/>
      <c r="B407" s="17"/>
      <c r="D407" s="18"/>
      <c r="E407" s="18"/>
      <c r="F407" s="18"/>
      <c r="G407" s="18"/>
      <c r="H407" s="49"/>
      <c r="I407" s="21"/>
      <c r="J407" s="22"/>
    </row>
    <row r="408" spans="1:10" ht="13.2" x14ac:dyDescent="0.25">
      <c r="A408" s="17"/>
      <c r="B408" s="17"/>
      <c r="D408" s="18"/>
      <c r="E408" s="18"/>
      <c r="F408" s="18"/>
      <c r="G408" s="18"/>
      <c r="H408" s="49"/>
      <c r="I408" s="21"/>
      <c r="J408" s="22"/>
    </row>
    <row r="409" spans="1:10" ht="13.2" x14ac:dyDescent="0.25">
      <c r="A409" s="17"/>
      <c r="B409" s="17"/>
      <c r="D409" s="18"/>
      <c r="E409" s="18"/>
      <c r="F409" s="18"/>
      <c r="G409" s="18"/>
      <c r="H409" s="49"/>
      <c r="I409" s="21"/>
      <c r="J409" s="22"/>
    </row>
    <row r="410" spans="1:10" ht="13.2" x14ac:dyDescent="0.25">
      <c r="A410" s="17"/>
      <c r="B410" s="17"/>
      <c r="D410" s="18"/>
      <c r="E410" s="18"/>
      <c r="F410" s="18"/>
      <c r="G410" s="18"/>
      <c r="H410" s="49"/>
      <c r="I410" s="21"/>
      <c r="J410" s="22"/>
    </row>
    <row r="411" spans="1:10" ht="13.2" x14ac:dyDescent="0.25">
      <c r="A411" s="17"/>
      <c r="B411" s="17"/>
      <c r="D411" s="18"/>
      <c r="E411" s="18"/>
      <c r="F411" s="18"/>
      <c r="G411" s="18"/>
      <c r="H411" s="49"/>
      <c r="I411" s="21"/>
      <c r="J411" s="22"/>
    </row>
    <row r="412" spans="1:10" ht="13.2" x14ac:dyDescent="0.25">
      <c r="A412" s="17"/>
      <c r="B412" s="17"/>
      <c r="D412" s="18"/>
      <c r="E412" s="18"/>
      <c r="F412" s="18"/>
      <c r="G412" s="18"/>
      <c r="H412" s="49"/>
      <c r="I412" s="21"/>
      <c r="J412" s="22"/>
    </row>
    <row r="413" spans="1:10" ht="13.2" x14ac:dyDescent="0.25">
      <c r="A413" s="17"/>
      <c r="B413" s="17"/>
      <c r="D413" s="18"/>
      <c r="E413" s="18"/>
      <c r="F413" s="18"/>
      <c r="G413" s="18"/>
      <c r="H413" s="49"/>
      <c r="I413" s="21"/>
      <c r="J413" s="22"/>
    </row>
    <row r="414" spans="1:10" ht="13.2" x14ac:dyDescent="0.25">
      <c r="A414" s="17"/>
      <c r="B414" s="17"/>
      <c r="D414" s="18"/>
      <c r="E414" s="18"/>
      <c r="F414" s="18"/>
      <c r="G414" s="18"/>
      <c r="H414" s="49"/>
      <c r="I414" s="21"/>
      <c r="J414" s="22"/>
    </row>
    <row r="415" spans="1:10" ht="13.2" x14ac:dyDescent="0.25">
      <c r="A415" s="17"/>
      <c r="B415" s="17"/>
      <c r="D415" s="18"/>
      <c r="E415" s="18"/>
      <c r="F415" s="18"/>
      <c r="G415" s="18"/>
      <c r="H415" s="49"/>
      <c r="I415" s="21"/>
      <c r="J415" s="22"/>
    </row>
    <row r="416" spans="1:10" ht="13.2" x14ac:dyDescent="0.25">
      <c r="A416" s="17"/>
      <c r="B416" s="17"/>
      <c r="D416" s="18"/>
      <c r="E416" s="18"/>
      <c r="F416" s="18"/>
      <c r="G416" s="18"/>
      <c r="H416" s="49"/>
      <c r="I416" s="21"/>
      <c r="J416" s="22"/>
    </row>
    <row r="417" spans="1:10" ht="13.2" x14ac:dyDescent="0.25">
      <c r="A417" s="17"/>
      <c r="B417" s="17"/>
      <c r="D417" s="18"/>
      <c r="E417" s="18"/>
      <c r="F417" s="18"/>
      <c r="G417" s="18"/>
      <c r="H417" s="49"/>
      <c r="I417" s="21"/>
      <c r="J417" s="22"/>
    </row>
    <row r="418" spans="1:10" ht="13.2" x14ac:dyDescent="0.25">
      <c r="A418" s="17"/>
      <c r="B418" s="17"/>
      <c r="D418" s="18"/>
      <c r="E418" s="18"/>
      <c r="F418" s="18"/>
      <c r="G418" s="18"/>
      <c r="H418" s="49"/>
      <c r="I418" s="21"/>
      <c r="J418" s="22"/>
    </row>
    <row r="419" spans="1:10" ht="13.2" x14ac:dyDescent="0.25">
      <c r="A419" s="17"/>
      <c r="B419" s="17"/>
      <c r="D419" s="18"/>
      <c r="E419" s="18"/>
      <c r="F419" s="18"/>
      <c r="G419" s="18"/>
      <c r="H419" s="49"/>
      <c r="I419" s="21"/>
      <c r="J419" s="22"/>
    </row>
    <row r="420" spans="1:10" ht="13.2" x14ac:dyDescent="0.25">
      <c r="A420" s="17"/>
      <c r="B420" s="17"/>
      <c r="D420" s="18"/>
      <c r="E420" s="18"/>
      <c r="F420" s="18"/>
      <c r="G420" s="18"/>
      <c r="H420" s="49"/>
      <c r="I420" s="21"/>
      <c r="J420" s="22"/>
    </row>
    <row r="421" spans="1:10" ht="13.2" x14ac:dyDescent="0.25">
      <c r="A421" s="17"/>
      <c r="B421" s="17"/>
      <c r="D421" s="18"/>
      <c r="E421" s="18"/>
      <c r="F421" s="18"/>
      <c r="G421" s="18"/>
      <c r="H421" s="49"/>
      <c r="I421" s="21"/>
      <c r="J421" s="22"/>
    </row>
    <row r="422" spans="1:10" ht="13.2" x14ac:dyDescent="0.25">
      <c r="A422" s="17"/>
      <c r="B422" s="17"/>
      <c r="D422" s="18"/>
      <c r="E422" s="18"/>
      <c r="F422" s="18"/>
      <c r="G422" s="18"/>
      <c r="H422" s="49"/>
      <c r="I422" s="21"/>
      <c r="J422" s="22"/>
    </row>
    <row r="423" spans="1:10" ht="13.2" x14ac:dyDescent="0.25">
      <c r="A423" s="17"/>
      <c r="B423" s="17"/>
      <c r="D423" s="18"/>
      <c r="E423" s="18"/>
      <c r="F423" s="18"/>
      <c r="G423" s="18"/>
      <c r="H423" s="49"/>
      <c r="I423" s="21"/>
      <c r="J423" s="22"/>
    </row>
    <row r="424" spans="1:10" ht="13.2" x14ac:dyDescent="0.25">
      <c r="A424" s="17"/>
      <c r="B424" s="17"/>
      <c r="D424" s="18"/>
      <c r="E424" s="18"/>
      <c r="F424" s="18"/>
      <c r="G424" s="18"/>
      <c r="H424" s="49"/>
      <c r="I424" s="21"/>
      <c r="J424" s="22"/>
    </row>
    <row r="425" spans="1:10" ht="13.2" x14ac:dyDescent="0.25">
      <c r="A425" s="17"/>
      <c r="B425" s="17"/>
      <c r="D425" s="18"/>
      <c r="E425" s="18"/>
      <c r="F425" s="18"/>
      <c r="G425" s="18"/>
      <c r="H425" s="49"/>
      <c r="I425" s="21"/>
      <c r="J425" s="22"/>
    </row>
    <row r="426" spans="1:10" ht="13.2" x14ac:dyDescent="0.25">
      <c r="A426" s="17"/>
      <c r="B426" s="17"/>
      <c r="D426" s="18"/>
      <c r="E426" s="18"/>
      <c r="F426" s="18"/>
      <c r="G426" s="18"/>
      <c r="H426" s="49"/>
      <c r="I426" s="21"/>
      <c r="J426" s="22"/>
    </row>
    <row r="427" spans="1:10" ht="13.2" x14ac:dyDescent="0.25">
      <c r="A427" s="17"/>
      <c r="B427" s="17"/>
      <c r="D427" s="18"/>
      <c r="E427" s="18"/>
      <c r="F427" s="18"/>
      <c r="G427" s="18"/>
      <c r="H427" s="49"/>
      <c r="I427" s="21"/>
      <c r="J427" s="22"/>
    </row>
    <row r="428" spans="1:10" ht="13.2" x14ac:dyDescent="0.25">
      <c r="A428" s="17"/>
      <c r="B428" s="17"/>
      <c r="D428" s="18"/>
      <c r="E428" s="18"/>
      <c r="F428" s="18"/>
      <c r="G428" s="18"/>
      <c r="H428" s="49"/>
      <c r="I428" s="21"/>
      <c r="J428" s="22"/>
    </row>
    <row r="429" spans="1:10" ht="13.2" x14ac:dyDescent="0.25">
      <c r="A429" s="17"/>
      <c r="B429" s="17"/>
      <c r="D429" s="18"/>
      <c r="E429" s="18"/>
      <c r="F429" s="18"/>
      <c r="G429" s="18"/>
      <c r="H429" s="49"/>
      <c r="I429" s="21"/>
      <c r="J429" s="22"/>
    </row>
    <row r="430" spans="1:10" ht="13.2" x14ac:dyDescent="0.25">
      <c r="A430" s="17"/>
      <c r="B430" s="17"/>
      <c r="D430" s="18"/>
      <c r="E430" s="18"/>
      <c r="F430" s="18"/>
      <c r="G430" s="18"/>
      <c r="H430" s="49"/>
      <c r="I430" s="21"/>
      <c r="J430" s="22"/>
    </row>
    <row r="431" spans="1:10" ht="13.2" x14ac:dyDescent="0.25">
      <c r="A431" s="17"/>
      <c r="B431" s="17"/>
      <c r="D431" s="18"/>
      <c r="E431" s="18"/>
      <c r="F431" s="18"/>
      <c r="G431" s="18"/>
      <c r="H431" s="49"/>
      <c r="I431" s="21"/>
      <c r="J431" s="22"/>
    </row>
    <row r="432" spans="1:10" ht="13.2" x14ac:dyDescent="0.25">
      <c r="A432" s="17"/>
      <c r="B432" s="17"/>
      <c r="D432" s="18"/>
      <c r="E432" s="18"/>
      <c r="F432" s="18"/>
      <c r="G432" s="18"/>
      <c r="H432" s="49"/>
      <c r="I432" s="21"/>
      <c r="J432" s="22"/>
    </row>
    <row r="433" spans="1:10" ht="13.2" x14ac:dyDescent="0.25">
      <c r="A433" s="17"/>
      <c r="B433" s="17"/>
      <c r="D433" s="18"/>
      <c r="E433" s="18"/>
      <c r="F433" s="18"/>
      <c r="G433" s="18"/>
      <c r="H433" s="49"/>
      <c r="I433" s="21"/>
      <c r="J433" s="22"/>
    </row>
    <row r="434" spans="1:10" ht="13.2" x14ac:dyDescent="0.25">
      <c r="A434" s="17"/>
      <c r="B434" s="17"/>
      <c r="D434" s="18"/>
      <c r="E434" s="18"/>
      <c r="F434" s="18"/>
      <c r="G434" s="18"/>
      <c r="H434" s="49"/>
      <c r="I434" s="21"/>
      <c r="J434" s="22"/>
    </row>
    <row r="435" spans="1:10" ht="13.2" x14ac:dyDescent="0.25">
      <c r="A435" s="17"/>
      <c r="B435" s="17"/>
      <c r="D435" s="18"/>
      <c r="E435" s="18"/>
      <c r="F435" s="18"/>
      <c r="G435" s="18"/>
      <c r="H435" s="49"/>
      <c r="I435" s="21"/>
      <c r="J435" s="22"/>
    </row>
    <row r="436" spans="1:10" ht="13.2" x14ac:dyDescent="0.25">
      <c r="A436" s="17"/>
      <c r="B436" s="17"/>
      <c r="D436" s="18"/>
      <c r="E436" s="18"/>
      <c r="F436" s="18"/>
      <c r="G436" s="18"/>
      <c r="H436" s="49"/>
      <c r="I436" s="21"/>
      <c r="J436" s="22"/>
    </row>
    <row r="437" spans="1:10" ht="13.2" x14ac:dyDescent="0.25">
      <c r="A437" s="17"/>
      <c r="B437" s="17"/>
      <c r="D437" s="18"/>
      <c r="E437" s="18"/>
      <c r="F437" s="18"/>
      <c r="G437" s="18"/>
      <c r="H437" s="49"/>
      <c r="I437" s="21"/>
      <c r="J437" s="22"/>
    </row>
    <row r="438" spans="1:10" ht="13.2" x14ac:dyDescent="0.25">
      <c r="A438" s="17"/>
      <c r="B438" s="17"/>
      <c r="D438" s="18"/>
      <c r="E438" s="18"/>
      <c r="F438" s="18"/>
      <c r="G438" s="18"/>
      <c r="H438" s="49"/>
      <c r="I438" s="21"/>
      <c r="J438" s="22"/>
    </row>
    <row r="439" spans="1:10" ht="13.2" x14ac:dyDescent="0.25">
      <c r="A439" s="17"/>
      <c r="B439" s="17"/>
      <c r="D439" s="18"/>
      <c r="E439" s="18"/>
      <c r="F439" s="18"/>
      <c r="G439" s="18"/>
      <c r="H439" s="49"/>
      <c r="I439" s="21"/>
      <c r="J439" s="22"/>
    </row>
    <row r="440" spans="1:10" ht="13.2" x14ac:dyDescent="0.25">
      <c r="A440" s="17"/>
      <c r="B440" s="17"/>
      <c r="D440" s="18"/>
      <c r="E440" s="18"/>
      <c r="F440" s="18"/>
      <c r="G440" s="18"/>
      <c r="H440" s="49"/>
      <c r="I440" s="21"/>
      <c r="J440" s="22"/>
    </row>
    <row r="441" spans="1:10" ht="13.2" x14ac:dyDescent="0.25">
      <c r="A441" s="17"/>
      <c r="B441" s="17"/>
      <c r="D441" s="18"/>
      <c r="E441" s="18"/>
      <c r="F441" s="18"/>
      <c r="G441" s="18"/>
      <c r="H441" s="49"/>
      <c r="I441" s="21"/>
      <c r="J441" s="22"/>
    </row>
    <row r="442" spans="1:10" ht="13.2" x14ac:dyDescent="0.25">
      <c r="A442" s="17"/>
      <c r="B442" s="17"/>
      <c r="D442" s="18"/>
      <c r="E442" s="18"/>
      <c r="F442" s="18"/>
      <c r="G442" s="18"/>
      <c r="H442" s="49"/>
      <c r="I442" s="21"/>
      <c r="J442" s="22"/>
    </row>
    <row r="443" spans="1:10" ht="13.2" x14ac:dyDescent="0.25">
      <c r="A443" s="17"/>
      <c r="B443" s="17"/>
      <c r="D443" s="18"/>
      <c r="E443" s="18"/>
      <c r="F443" s="18"/>
      <c r="G443" s="18"/>
      <c r="H443" s="49"/>
      <c r="I443" s="21"/>
      <c r="J443" s="22"/>
    </row>
    <row r="444" spans="1:10" ht="13.2" x14ac:dyDescent="0.25">
      <c r="A444" s="17"/>
      <c r="B444" s="17"/>
      <c r="D444" s="18"/>
      <c r="E444" s="18"/>
      <c r="F444" s="18"/>
      <c r="G444" s="18"/>
      <c r="H444" s="49"/>
      <c r="I444" s="21"/>
      <c r="J444" s="22"/>
    </row>
    <row r="445" spans="1:10" ht="13.2" x14ac:dyDescent="0.25">
      <c r="A445" s="17"/>
      <c r="B445" s="17"/>
      <c r="D445" s="18"/>
      <c r="E445" s="18"/>
      <c r="F445" s="18"/>
      <c r="G445" s="18"/>
      <c r="H445" s="49"/>
      <c r="I445" s="21"/>
      <c r="J445" s="22"/>
    </row>
    <row r="446" spans="1:10" ht="13.2" x14ac:dyDescent="0.25">
      <c r="A446" s="17"/>
      <c r="B446" s="17"/>
      <c r="D446" s="18"/>
      <c r="E446" s="18"/>
      <c r="F446" s="18"/>
      <c r="G446" s="18"/>
      <c r="H446" s="49"/>
      <c r="I446" s="21"/>
      <c r="J446" s="22"/>
    </row>
    <row r="447" spans="1:10" ht="13.2" x14ac:dyDescent="0.25">
      <c r="A447" s="17"/>
      <c r="B447" s="17"/>
      <c r="D447" s="18"/>
      <c r="E447" s="18"/>
      <c r="F447" s="18"/>
      <c r="G447" s="18"/>
      <c r="H447" s="49"/>
      <c r="I447" s="21"/>
      <c r="J447" s="22"/>
    </row>
    <row r="448" spans="1:10" ht="13.2" x14ac:dyDescent="0.25">
      <c r="A448" s="17"/>
      <c r="B448" s="17"/>
      <c r="D448" s="18"/>
      <c r="E448" s="18"/>
      <c r="F448" s="18"/>
      <c r="G448" s="18"/>
      <c r="H448" s="49"/>
      <c r="I448" s="21"/>
      <c r="J448" s="22"/>
    </row>
    <row r="449" spans="1:10" ht="13.2" x14ac:dyDescent="0.25">
      <c r="A449" s="17"/>
      <c r="B449" s="17"/>
      <c r="D449" s="18"/>
      <c r="E449" s="18"/>
      <c r="F449" s="18"/>
      <c r="G449" s="18"/>
      <c r="H449" s="49"/>
      <c r="I449" s="21"/>
      <c r="J449" s="22"/>
    </row>
    <row r="450" spans="1:10" ht="13.2" x14ac:dyDescent="0.25">
      <c r="A450" s="17"/>
      <c r="B450" s="17"/>
      <c r="D450" s="18"/>
      <c r="E450" s="18"/>
      <c r="F450" s="18"/>
      <c r="G450" s="18"/>
      <c r="H450" s="49"/>
      <c r="I450" s="21"/>
      <c r="J450" s="22"/>
    </row>
    <row r="451" spans="1:10" ht="13.2" x14ac:dyDescent="0.25">
      <c r="A451" s="17"/>
      <c r="B451" s="17"/>
      <c r="D451" s="18"/>
      <c r="E451" s="18"/>
      <c r="F451" s="18"/>
      <c r="G451" s="18"/>
      <c r="H451" s="49"/>
      <c r="I451" s="21"/>
      <c r="J451" s="22"/>
    </row>
    <row r="452" spans="1:10" ht="13.2" x14ac:dyDescent="0.25">
      <c r="A452" s="17"/>
      <c r="B452" s="17"/>
      <c r="D452" s="18"/>
      <c r="E452" s="18"/>
      <c r="F452" s="18"/>
      <c r="G452" s="18"/>
      <c r="H452" s="49"/>
      <c r="I452" s="21"/>
      <c r="J452" s="22"/>
    </row>
    <row r="453" spans="1:10" ht="13.2" x14ac:dyDescent="0.25">
      <c r="A453" s="17"/>
      <c r="B453" s="17"/>
      <c r="D453" s="18"/>
      <c r="E453" s="18"/>
      <c r="F453" s="18"/>
      <c r="G453" s="18"/>
      <c r="H453" s="49"/>
      <c r="I453" s="21"/>
      <c r="J453" s="22"/>
    </row>
    <row r="454" spans="1:10" ht="13.2" x14ac:dyDescent="0.25">
      <c r="A454" s="17"/>
      <c r="B454" s="17"/>
      <c r="D454" s="18"/>
      <c r="E454" s="18"/>
      <c r="F454" s="18"/>
      <c r="G454" s="18"/>
      <c r="H454" s="49"/>
      <c r="I454" s="21"/>
      <c r="J454" s="22"/>
    </row>
    <row r="455" spans="1:10" ht="13.2" x14ac:dyDescent="0.25">
      <c r="A455" s="17"/>
      <c r="B455" s="17"/>
      <c r="D455" s="18"/>
      <c r="E455" s="18"/>
      <c r="F455" s="18"/>
      <c r="G455" s="18"/>
      <c r="H455" s="49"/>
      <c r="I455" s="21"/>
      <c r="J455" s="22"/>
    </row>
    <row r="456" spans="1:10" ht="13.2" x14ac:dyDescent="0.25">
      <c r="A456" s="17"/>
      <c r="B456" s="17"/>
      <c r="D456" s="18"/>
      <c r="E456" s="18"/>
      <c r="F456" s="18"/>
      <c r="G456" s="18"/>
      <c r="H456" s="49"/>
      <c r="I456" s="21"/>
      <c r="J456" s="22"/>
    </row>
    <row r="457" spans="1:10" ht="13.2" x14ac:dyDescent="0.25">
      <c r="A457" s="17"/>
      <c r="B457" s="17"/>
      <c r="D457" s="18"/>
      <c r="E457" s="18"/>
      <c r="F457" s="18"/>
      <c r="G457" s="18"/>
      <c r="H457" s="49"/>
      <c r="I457" s="21"/>
      <c r="J457" s="22"/>
    </row>
    <row r="458" spans="1:10" ht="13.2" x14ac:dyDescent="0.25">
      <c r="A458" s="17"/>
      <c r="B458" s="17"/>
      <c r="D458" s="18"/>
      <c r="E458" s="18"/>
      <c r="F458" s="18"/>
      <c r="G458" s="18"/>
      <c r="H458" s="49"/>
      <c r="I458" s="21"/>
      <c r="J458" s="22"/>
    </row>
    <row r="459" spans="1:10" ht="13.2" x14ac:dyDescent="0.25">
      <c r="A459" s="17"/>
      <c r="B459" s="17"/>
      <c r="D459" s="18"/>
      <c r="E459" s="18"/>
      <c r="F459" s="18"/>
      <c r="G459" s="18"/>
      <c r="H459" s="49"/>
      <c r="I459" s="21"/>
      <c r="J459" s="22"/>
    </row>
    <row r="460" spans="1:10" ht="13.2" x14ac:dyDescent="0.25">
      <c r="A460" s="17"/>
      <c r="B460" s="17"/>
      <c r="D460" s="18"/>
      <c r="E460" s="18"/>
      <c r="F460" s="18"/>
      <c r="G460" s="18"/>
      <c r="H460" s="49"/>
      <c r="I460" s="21"/>
      <c r="J460" s="22"/>
    </row>
    <row r="461" spans="1:10" ht="13.2" x14ac:dyDescent="0.25">
      <c r="A461" s="17"/>
      <c r="B461" s="17"/>
      <c r="D461" s="18"/>
      <c r="E461" s="18"/>
      <c r="F461" s="18"/>
      <c r="G461" s="18"/>
      <c r="H461" s="49"/>
      <c r="I461" s="21"/>
      <c r="J461" s="22"/>
    </row>
    <row r="462" spans="1:10" ht="13.2" x14ac:dyDescent="0.25">
      <c r="A462" s="17"/>
      <c r="B462" s="17"/>
      <c r="D462" s="18"/>
      <c r="E462" s="18"/>
      <c r="F462" s="18"/>
      <c r="G462" s="18"/>
      <c r="H462" s="49"/>
      <c r="I462" s="21"/>
      <c r="J462" s="22"/>
    </row>
    <row r="463" spans="1:10" ht="13.2" x14ac:dyDescent="0.25">
      <c r="A463" s="17"/>
      <c r="B463" s="17"/>
      <c r="D463" s="18"/>
      <c r="E463" s="18"/>
      <c r="F463" s="18"/>
      <c r="G463" s="18"/>
      <c r="H463" s="49"/>
      <c r="I463" s="21"/>
      <c r="J463" s="22"/>
    </row>
    <row r="464" spans="1:10" ht="13.2" x14ac:dyDescent="0.25">
      <c r="A464" s="17"/>
      <c r="B464" s="17"/>
      <c r="D464" s="18"/>
      <c r="E464" s="18"/>
      <c r="F464" s="18"/>
      <c r="G464" s="18"/>
      <c r="H464" s="49"/>
      <c r="I464" s="21"/>
      <c r="J464" s="22"/>
    </row>
    <row r="465" spans="1:10" ht="13.2" x14ac:dyDescent="0.25">
      <c r="A465" s="17"/>
      <c r="B465" s="17"/>
      <c r="D465" s="18"/>
      <c r="E465" s="18"/>
      <c r="F465" s="18"/>
      <c r="G465" s="18"/>
      <c r="H465" s="49"/>
      <c r="I465" s="21"/>
      <c r="J465" s="22"/>
    </row>
    <row r="466" spans="1:10" ht="13.2" x14ac:dyDescent="0.25">
      <c r="A466" s="17"/>
      <c r="B466" s="17"/>
      <c r="D466" s="18"/>
      <c r="E466" s="18"/>
      <c r="F466" s="18"/>
      <c r="G466" s="18"/>
      <c r="H466" s="49"/>
      <c r="I466" s="21"/>
      <c r="J466" s="22"/>
    </row>
    <row r="467" spans="1:10" ht="13.2" x14ac:dyDescent="0.25">
      <c r="A467" s="17"/>
      <c r="B467" s="17"/>
      <c r="D467" s="18"/>
      <c r="E467" s="18"/>
      <c r="F467" s="18"/>
      <c r="G467" s="18"/>
      <c r="H467" s="49"/>
      <c r="I467" s="21"/>
      <c r="J467" s="22"/>
    </row>
    <row r="468" spans="1:10" ht="13.2" x14ac:dyDescent="0.25">
      <c r="A468" s="17"/>
      <c r="B468" s="17"/>
      <c r="D468" s="18"/>
      <c r="E468" s="18"/>
      <c r="F468" s="18"/>
      <c r="G468" s="18"/>
      <c r="H468" s="49"/>
      <c r="I468" s="21"/>
      <c r="J468" s="22"/>
    </row>
    <row r="469" spans="1:10" ht="13.2" x14ac:dyDescent="0.25">
      <c r="A469" s="17"/>
      <c r="B469" s="17"/>
      <c r="D469" s="18"/>
      <c r="E469" s="18"/>
      <c r="F469" s="18"/>
      <c r="G469" s="18"/>
      <c r="H469" s="49"/>
      <c r="I469" s="21"/>
      <c r="J469" s="22"/>
    </row>
    <row r="470" spans="1:10" ht="13.2" x14ac:dyDescent="0.25">
      <c r="A470" s="17"/>
      <c r="B470" s="17"/>
      <c r="D470" s="18"/>
      <c r="E470" s="18"/>
      <c r="F470" s="18"/>
      <c r="G470" s="18"/>
      <c r="H470" s="49"/>
      <c r="I470" s="21"/>
      <c r="J470" s="22"/>
    </row>
    <row r="471" spans="1:10" ht="13.2" x14ac:dyDescent="0.25">
      <c r="A471" s="17"/>
      <c r="B471" s="17"/>
      <c r="D471" s="18"/>
      <c r="E471" s="18"/>
      <c r="F471" s="18"/>
      <c r="G471" s="18"/>
      <c r="H471" s="49"/>
      <c r="I471" s="21"/>
      <c r="J471" s="22"/>
    </row>
    <row r="472" spans="1:10" ht="13.2" x14ac:dyDescent="0.25">
      <c r="A472" s="17"/>
      <c r="B472" s="17"/>
      <c r="D472" s="18"/>
      <c r="E472" s="18"/>
      <c r="F472" s="18"/>
      <c r="G472" s="18"/>
      <c r="H472" s="49"/>
      <c r="I472" s="21"/>
      <c r="J472" s="22"/>
    </row>
    <row r="473" spans="1:10" ht="13.2" x14ac:dyDescent="0.25">
      <c r="A473" s="17"/>
      <c r="B473" s="17"/>
      <c r="D473" s="18"/>
      <c r="E473" s="18"/>
      <c r="F473" s="18"/>
      <c r="G473" s="18"/>
      <c r="H473" s="49"/>
      <c r="I473" s="21"/>
      <c r="J473" s="22"/>
    </row>
    <row r="474" spans="1:10" ht="13.2" x14ac:dyDescent="0.25">
      <c r="A474" s="17"/>
      <c r="B474" s="17"/>
      <c r="D474" s="18"/>
      <c r="E474" s="18"/>
      <c r="F474" s="18"/>
      <c r="G474" s="18"/>
      <c r="H474" s="49"/>
      <c r="I474" s="21"/>
      <c r="J474" s="22"/>
    </row>
    <row r="475" spans="1:10" ht="13.2" x14ac:dyDescent="0.25">
      <c r="A475" s="17"/>
      <c r="B475" s="17"/>
      <c r="D475" s="18"/>
      <c r="E475" s="18"/>
      <c r="F475" s="18"/>
      <c r="G475" s="18"/>
      <c r="H475" s="49"/>
      <c r="I475" s="21"/>
      <c r="J475" s="22"/>
    </row>
    <row r="476" spans="1:10" ht="13.2" x14ac:dyDescent="0.25">
      <c r="A476" s="17"/>
      <c r="B476" s="17"/>
      <c r="D476" s="18"/>
      <c r="E476" s="18"/>
      <c r="F476" s="18"/>
      <c r="G476" s="18"/>
      <c r="H476" s="49"/>
      <c r="I476" s="21"/>
      <c r="J476" s="22"/>
    </row>
    <row r="477" spans="1:10" ht="13.2" x14ac:dyDescent="0.25">
      <c r="A477" s="17"/>
      <c r="B477" s="17"/>
      <c r="D477" s="18"/>
      <c r="E477" s="18"/>
      <c r="F477" s="18"/>
      <c r="G477" s="18"/>
      <c r="H477" s="49"/>
      <c r="I477" s="21"/>
      <c r="J477" s="22"/>
    </row>
    <row r="478" spans="1:10" ht="13.2" x14ac:dyDescent="0.25">
      <c r="A478" s="17"/>
      <c r="B478" s="17"/>
      <c r="D478" s="18"/>
      <c r="E478" s="18"/>
      <c r="F478" s="18"/>
      <c r="G478" s="18"/>
      <c r="H478" s="49"/>
      <c r="I478" s="21"/>
      <c r="J478" s="22"/>
    </row>
    <row r="479" spans="1:10" ht="13.2" x14ac:dyDescent="0.25">
      <c r="A479" s="17"/>
      <c r="B479" s="17"/>
      <c r="D479" s="18"/>
      <c r="E479" s="18"/>
      <c r="F479" s="18"/>
      <c r="G479" s="18"/>
      <c r="H479" s="49"/>
      <c r="I479" s="21"/>
      <c r="J479" s="22"/>
    </row>
    <row r="480" spans="1:10" ht="13.2" x14ac:dyDescent="0.25">
      <c r="A480" s="17"/>
      <c r="B480" s="17"/>
      <c r="D480" s="18"/>
      <c r="E480" s="18"/>
      <c r="F480" s="18"/>
      <c r="G480" s="18"/>
      <c r="H480" s="49"/>
      <c r="I480" s="21"/>
      <c r="J480" s="22"/>
    </row>
    <row r="481" spans="1:10" ht="13.2" x14ac:dyDescent="0.25">
      <c r="A481" s="17"/>
      <c r="B481" s="17"/>
      <c r="D481" s="18"/>
      <c r="E481" s="18"/>
      <c r="F481" s="18"/>
      <c r="G481" s="18"/>
      <c r="H481" s="49"/>
      <c r="I481" s="21"/>
      <c r="J481" s="22"/>
    </row>
    <row r="482" spans="1:10" ht="13.2" x14ac:dyDescent="0.25">
      <c r="A482" s="17"/>
      <c r="B482" s="17"/>
      <c r="D482" s="18"/>
      <c r="E482" s="18"/>
      <c r="F482" s="18"/>
      <c r="G482" s="18"/>
      <c r="H482" s="49"/>
      <c r="I482" s="21"/>
      <c r="J482" s="22"/>
    </row>
    <row r="483" spans="1:10" ht="13.2" x14ac:dyDescent="0.25">
      <c r="A483" s="17"/>
      <c r="B483" s="17"/>
      <c r="D483" s="18"/>
      <c r="E483" s="18"/>
      <c r="F483" s="18"/>
      <c r="G483" s="18"/>
      <c r="H483" s="49"/>
      <c r="I483" s="21"/>
      <c r="J483" s="22"/>
    </row>
    <row r="484" spans="1:10" ht="13.2" x14ac:dyDescent="0.25">
      <c r="A484" s="17"/>
      <c r="B484" s="17"/>
      <c r="D484" s="18"/>
      <c r="E484" s="18"/>
      <c r="F484" s="18"/>
      <c r="G484" s="18"/>
      <c r="H484" s="49"/>
      <c r="I484" s="21"/>
      <c r="J484" s="22"/>
    </row>
    <row r="485" spans="1:10" ht="13.2" x14ac:dyDescent="0.25">
      <c r="A485" s="17"/>
      <c r="B485" s="17"/>
      <c r="D485" s="18"/>
      <c r="E485" s="18"/>
      <c r="F485" s="18"/>
      <c r="G485" s="18"/>
      <c r="H485" s="49"/>
      <c r="I485" s="21"/>
      <c r="J485" s="22"/>
    </row>
    <row r="486" spans="1:10" ht="13.2" x14ac:dyDescent="0.25">
      <c r="A486" s="17"/>
      <c r="B486" s="17"/>
      <c r="D486" s="18"/>
      <c r="E486" s="18"/>
      <c r="F486" s="18"/>
      <c r="G486" s="18"/>
      <c r="H486" s="49"/>
      <c r="I486" s="21"/>
      <c r="J486" s="22"/>
    </row>
    <row r="487" spans="1:10" ht="13.2" x14ac:dyDescent="0.25">
      <c r="A487" s="17"/>
      <c r="B487" s="17"/>
      <c r="D487" s="18"/>
      <c r="E487" s="18"/>
      <c r="F487" s="18"/>
      <c r="G487" s="18"/>
      <c r="H487" s="49"/>
      <c r="I487" s="21"/>
      <c r="J487" s="22"/>
    </row>
    <row r="488" spans="1:10" ht="13.2" x14ac:dyDescent="0.25">
      <c r="A488" s="17"/>
      <c r="B488" s="17"/>
      <c r="D488" s="18"/>
      <c r="E488" s="18"/>
      <c r="F488" s="18"/>
      <c r="G488" s="18"/>
      <c r="H488" s="49"/>
      <c r="I488" s="21"/>
      <c r="J488" s="22"/>
    </row>
    <row r="489" spans="1:10" ht="13.2" x14ac:dyDescent="0.25">
      <c r="A489" s="17"/>
      <c r="B489" s="17"/>
      <c r="D489" s="18"/>
      <c r="E489" s="18"/>
      <c r="F489" s="18"/>
      <c r="G489" s="18"/>
      <c r="H489" s="49"/>
      <c r="I489" s="21"/>
      <c r="J489" s="22"/>
    </row>
    <row r="490" spans="1:10" ht="13.2" x14ac:dyDescent="0.25">
      <c r="A490" s="17"/>
      <c r="B490" s="17"/>
      <c r="D490" s="18"/>
      <c r="E490" s="18"/>
      <c r="F490" s="18"/>
      <c r="G490" s="18"/>
      <c r="H490" s="49"/>
      <c r="I490" s="21"/>
      <c r="J490" s="22"/>
    </row>
    <row r="491" spans="1:10" ht="13.2" x14ac:dyDescent="0.25">
      <c r="A491" s="17"/>
      <c r="B491" s="17"/>
      <c r="D491" s="18"/>
      <c r="E491" s="18"/>
      <c r="F491" s="18"/>
      <c r="G491" s="18"/>
      <c r="H491" s="49"/>
      <c r="I491" s="21"/>
      <c r="J491" s="22"/>
    </row>
    <row r="492" spans="1:10" ht="13.2" x14ac:dyDescent="0.25">
      <c r="A492" s="17"/>
      <c r="B492" s="17"/>
      <c r="D492" s="18"/>
      <c r="E492" s="18"/>
      <c r="F492" s="18"/>
      <c r="G492" s="18"/>
      <c r="H492" s="49"/>
      <c r="I492" s="21"/>
      <c r="J492" s="22"/>
    </row>
    <row r="493" spans="1:10" ht="13.2" x14ac:dyDescent="0.25">
      <c r="A493" s="17"/>
      <c r="B493" s="17"/>
      <c r="D493" s="18"/>
      <c r="E493" s="18"/>
      <c r="F493" s="18"/>
      <c r="G493" s="18"/>
      <c r="H493" s="49"/>
      <c r="I493" s="21"/>
      <c r="J493" s="22"/>
    </row>
    <row r="494" spans="1:10" ht="13.2" x14ac:dyDescent="0.25">
      <c r="A494" s="17"/>
      <c r="B494" s="17"/>
      <c r="D494" s="18"/>
      <c r="E494" s="18"/>
      <c r="F494" s="18"/>
      <c r="G494" s="18"/>
      <c r="H494" s="49"/>
      <c r="I494" s="21"/>
      <c r="J494" s="22"/>
    </row>
    <row r="495" spans="1:10" ht="13.2" x14ac:dyDescent="0.25">
      <c r="A495" s="17"/>
      <c r="B495" s="17"/>
      <c r="D495" s="18"/>
      <c r="E495" s="18"/>
      <c r="F495" s="18"/>
      <c r="G495" s="18"/>
      <c r="H495" s="49"/>
      <c r="I495" s="21"/>
      <c r="J495" s="22"/>
    </row>
    <row r="496" spans="1:10" ht="13.2" x14ac:dyDescent="0.25">
      <c r="A496" s="17"/>
      <c r="B496" s="17"/>
      <c r="D496" s="18"/>
      <c r="E496" s="18"/>
      <c r="F496" s="18"/>
      <c r="G496" s="18"/>
      <c r="H496" s="49"/>
      <c r="I496" s="21"/>
      <c r="J496" s="22"/>
    </row>
    <row r="497" spans="1:10" ht="13.2" x14ac:dyDescent="0.25">
      <c r="A497" s="17"/>
      <c r="B497" s="17"/>
      <c r="D497" s="18"/>
      <c r="E497" s="18"/>
      <c r="F497" s="18"/>
      <c r="G497" s="18"/>
      <c r="H497" s="49"/>
      <c r="I497" s="21"/>
      <c r="J497" s="22"/>
    </row>
    <row r="498" spans="1:10" ht="13.2" x14ac:dyDescent="0.25">
      <c r="A498" s="17"/>
      <c r="B498" s="17"/>
      <c r="D498" s="18"/>
      <c r="E498" s="18"/>
      <c r="F498" s="18"/>
      <c r="G498" s="18"/>
      <c r="H498" s="49"/>
      <c r="I498" s="21"/>
      <c r="J498" s="22"/>
    </row>
    <row r="499" spans="1:10" ht="13.2" x14ac:dyDescent="0.25">
      <c r="A499" s="17"/>
      <c r="B499" s="17"/>
      <c r="D499" s="18"/>
      <c r="E499" s="18"/>
      <c r="F499" s="18"/>
      <c r="G499" s="18"/>
      <c r="H499" s="49"/>
      <c r="I499" s="21"/>
      <c r="J499" s="22"/>
    </row>
    <row r="500" spans="1:10" ht="13.2" x14ac:dyDescent="0.25">
      <c r="A500" s="17"/>
      <c r="B500" s="17"/>
      <c r="D500" s="18"/>
      <c r="E500" s="18"/>
      <c r="F500" s="18"/>
      <c r="G500" s="18"/>
      <c r="H500" s="49"/>
      <c r="I500" s="21"/>
      <c r="J500" s="22"/>
    </row>
    <row r="501" spans="1:10" ht="13.2" x14ac:dyDescent="0.25">
      <c r="A501" s="17"/>
      <c r="B501" s="17"/>
      <c r="D501" s="18"/>
      <c r="E501" s="18"/>
      <c r="F501" s="18"/>
      <c r="G501" s="18"/>
      <c r="H501" s="49"/>
      <c r="I501" s="21"/>
      <c r="J501" s="22"/>
    </row>
    <row r="502" spans="1:10" ht="13.2" x14ac:dyDescent="0.25">
      <c r="A502" s="17"/>
      <c r="B502" s="17"/>
      <c r="D502" s="18"/>
      <c r="E502" s="18"/>
      <c r="F502" s="18"/>
      <c r="G502" s="18"/>
      <c r="H502" s="49"/>
      <c r="I502" s="21"/>
      <c r="J502" s="22"/>
    </row>
    <row r="503" spans="1:10" ht="13.2" x14ac:dyDescent="0.25">
      <c r="A503" s="17"/>
      <c r="B503" s="17"/>
      <c r="D503" s="18"/>
      <c r="E503" s="18"/>
      <c r="F503" s="18"/>
      <c r="G503" s="18"/>
      <c r="H503" s="49"/>
      <c r="I503" s="21"/>
      <c r="J503" s="22"/>
    </row>
    <row r="504" spans="1:10" ht="13.2" x14ac:dyDescent="0.25">
      <c r="A504" s="17"/>
      <c r="B504" s="17"/>
      <c r="D504" s="18"/>
      <c r="E504" s="18"/>
      <c r="F504" s="18"/>
      <c r="G504" s="18"/>
      <c r="H504" s="49"/>
      <c r="I504" s="21"/>
      <c r="J504" s="22"/>
    </row>
    <row r="505" spans="1:10" ht="13.2" x14ac:dyDescent="0.25">
      <c r="A505" s="17"/>
      <c r="B505" s="17"/>
      <c r="D505" s="18"/>
      <c r="E505" s="18"/>
      <c r="F505" s="18"/>
      <c r="G505" s="18"/>
      <c r="H505" s="49"/>
      <c r="I505" s="21"/>
      <c r="J505" s="22"/>
    </row>
    <row r="506" spans="1:10" ht="13.2" x14ac:dyDescent="0.25">
      <c r="A506" s="17"/>
      <c r="B506" s="17"/>
      <c r="D506" s="18"/>
      <c r="E506" s="18"/>
      <c r="F506" s="18"/>
      <c r="G506" s="18"/>
      <c r="H506" s="49"/>
      <c r="I506" s="21"/>
      <c r="J506" s="22"/>
    </row>
    <row r="507" spans="1:10" ht="13.2" x14ac:dyDescent="0.25">
      <c r="A507" s="17"/>
      <c r="B507" s="17"/>
      <c r="D507" s="18"/>
      <c r="E507" s="18"/>
      <c r="F507" s="18"/>
      <c r="G507" s="18"/>
      <c r="H507" s="49"/>
      <c r="I507" s="21"/>
      <c r="J507" s="22"/>
    </row>
    <row r="508" spans="1:10" ht="13.2" x14ac:dyDescent="0.25">
      <c r="A508" s="17"/>
      <c r="B508" s="17"/>
      <c r="D508" s="18"/>
      <c r="E508" s="18"/>
      <c r="F508" s="18"/>
      <c r="G508" s="18"/>
      <c r="H508" s="49"/>
      <c r="I508" s="21"/>
      <c r="J508" s="22"/>
    </row>
    <row r="509" spans="1:10" ht="13.2" x14ac:dyDescent="0.25">
      <c r="A509" s="17"/>
      <c r="B509" s="17"/>
      <c r="D509" s="18"/>
      <c r="E509" s="18"/>
      <c r="F509" s="18"/>
      <c r="G509" s="18"/>
      <c r="H509" s="49"/>
      <c r="I509" s="21"/>
      <c r="J509" s="22"/>
    </row>
    <row r="510" spans="1:10" ht="13.2" x14ac:dyDescent="0.25">
      <c r="A510" s="17"/>
      <c r="B510" s="17"/>
      <c r="D510" s="18"/>
      <c r="E510" s="18"/>
      <c r="F510" s="18"/>
      <c r="G510" s="18"/>
      <c r="H510" s="49"/>
      <c r="I510" s="21"/>
      <c r="J510" s="22"/>
    </row>
    <row r="511" spans="1:10" ht="13.2" x14ac:dyDescent="0.25">
      <c r="A511" s="17"/>
      <c r="B511" s="17"/>
      <c r="D511" s="18"/>
      <c r="E511" s="18"/>
      <c r="F511" s="18"/>
      <c r="G511" s="18"/>
      <c r="H511" s="49"/>
      <c r="I511" s="21"/>
      <c r="J511" s="22"/>
    </row>
    <row r="512" spans="1:10" ht="13.2" x14ac:dyDescent="0.25">
      <c r="A512" s="17"/>
      <c r="B512" s="17"/>
      <c r="D512" s="18"/>
      <c r="E512" s="18"/>
      <c r="F512" s="18"/>
      <c r="G512" s="18"/>
      <c r="H512" s="49"/>
      <c r="I512" s="21"/>
      <c r="J512" s="22"/>
    </row>
    <row r="513" spans="1:10" ht="13.2" x14ac:dyDescent="0.25">
      <c r="A513" s="17"/>
      <c r="B513" s="17"/>
      <c r="D513" s="18"/>
      <c r="E513" s="18"/>
      <c r="F513" s="18"/>
      <c r="G513" s="18"/>
      <c r="H513" s="49"/>
      <c r="I513" s="21"/>
      <c r="J513" s="22"/>
    </row>
    <row r="514" spans="1:10" ht="13.2" x14ac:dyDescent="0.25">
      <c r="A514" s="17"/>
      <c r="B514" s="17"/>
      <c r="D514" s="18"/>
      <c r="E514" s="18"/>
      <c r="F514" s="18"/>
      <c r="G514" s="18"/>
      <c r="H514" s="49"/>
      <c r="I514" s="21"/>
      <c r="J514" s="22"/>
    </row>
    <row r="515" spans="1:10" ht="13.2" x14ac:dyDescent="0.25">
      <c r="A515" s="17"/>
      <c r="B515" s="17"/>
      <c r="D515" s="18"/>
      <c r="E515" s="18"/>
      <c r="F515" s="18"/>
      <c r="G515" s="18"/>
      <c r="H515" s="49"/>
      <c r="I515" s="21"/>
      <c r="J515" s="22"/>
    </row>
    <row r="516" spans="1:10" ht="13.2" x14ac:dyDescent="0.25">
      <c r="A516" s="17"/>
      <c r="B516" s="17"/>
      <c r="D516" s="18"/>
      <c r="E516" s="18"/>
      <c r="F516" s="18"/>
      <c r="G516" s="18"/>
      <c r="H516" s="49"/>
      <c r="I516" s="21"/>
      <c r="J516" s="22"/>
    </row>
    <row r="517" spans="1:10" ht="13.2" x14ac:dyDescent="0.25">
      <c r="A517" s="17"/>
      <c r="B517" s="17"/>
      <c r="D517" s="18"/>
      <c r="E517" s="18"/>
      <c r="F517" s="18"/>
      <c r="G517" s="18"/>
      <c r="H517" s="49"/>
      <c r="I517" s="21"/>
      <c r="J517" s="22"/>
    </row>
    <row r="518" spans="1:10" ht="13.2" x14ac:dyDescent="0.25">
      <c r="A518" s="17"/>
      <c r="B518" s="17"/>
      <c r="D518" s="18"/>
      <c r="E518" s="18"/>
      <c r="F518" s="18"/>
      <c r="G518" s="18"/>
      <c r="H518" s="49"/>
      <c r="I518" s="21"/>
      <c r="J518" s="22"/>
    </row>
    <row r="519" spans="1:10" ht="13.2" x14ac:dyDescent="0.25">
      <c r="A519" s="17"/>
      <c r="B519" s="17"/>
      <c r="D519" s="18"/>
      <c r="E519" s="18"/>
      <c r="F519" s="18"/>
      <c r="G519" s="18"/>
      <c r="H519" s="49"/>
      <c r="I519" s="21"/>
      <c r="J519" s="22"/>
    </row>
    <row r="520" spans="1:10" ht="13.2" x14ac:dyDescent="0.25">
      <c r="A520" s="17"/>
      <c r="B520" s="17"/>
      <c r="D520" s="18"/>
      <c r="E520" s="18"/>
      <c r="F520" s="18"/>
      <c r="G520" s="18"/>
      <c r="H520" s="49"/>
      <c r="I520" s="21"/>
      <c r="J520" s="22"/>
    </row>
    <row r="521" spans="1:10" ht="13.2" x14ac:dyDescent="0.25">
      <c r="A521" s="17"/>
      <c r="B521" s="17"/>
      <c r="D521" s="18"/>
      <c r="E521" s="18"/>
      <c r="F521" s="18"/>
      <c r="G521" s="18"/>
      <c r="H521" s="49"/>
      <c r="I521" s="21"/>
      <c r="J521" s="22"/>
    </row>
    <row r="522" spans="1:10" ht="13.2" x14ac:dyDescent="0.25">
      <c r="A522" s="17"/>
      <c r="B522" s="17"/>
      <c r="D522" s="18"/>
      <c r="E522" s="18"/>
      <c r="F522" s="18"/>
      <c r="G522" s="18"/>
      <c r="H522" s="49"/>
      <c r="I522" s="21"/>
      <c r="J522" s="22"/>
    </row>
    <row r="523" spans="1:10" ht="13.2" x14ac:dyDescent="0.25">
      <c r="A523" s="17"/>
      <c r="B523" s="17"/>
      <c r="D523" s="18"/>
      <c r="E523" s="18"/>
      <c r="F523" s="18"/>
      <c r="G523" s="18"/>
      <c r="H523" s="49"/>
      <c r="I523" s="21"/>
      <c r="J523" s="22"/>
    </row>
    <row r="524" spans="1:10" ht="13.2" x14ac:dyDescent="0.25">
      <c r="A524" s="17"/>
      <c r="B524" s="17"/>
      <c r="D524" s="18"/>
      <c r="E524" s="18"/>
      <c r="F524" s="18"/>
      <c r="G524" s="18"/>
      <c r="H524" s="49"/>
      <c r="I524" s="21"/>
      <c r="J524" s="22"/>
    </row>
    <row r="525" spans="1:10" ht="13.2" x14ac:dyDescent="0.25">
      <c r="A525" s="17"/>
      <c r="B525" s="17"/>
      <c r="D525" s="18"/>
      <c r="E525" s="18"/>
      <c r="F525" s="18"/>
      <c r="G525" s="18"/>
      <c r="H525" s="49"/>
      <c r="I525" s="21"/>
      <c r="J525" s="22"/>
    </row>
    <row r="526" spans="1:10" ht="13.2" x14ac:dyDescent="0.25">
      <c r="A526" s="17"/>
      <c r="B526" s="17"/>
      <c r="D526" s="18"/>
      <c r="E526" s="18"/>
      <c r="F526" s="18"/>
      <c r="G526" s="18"/>
      <c r="H526" s="49"/>
      <c r="I526" s="21"/>
      <c r="J526" s="22"/>
    </row>
    <row r="527" spans="1:10" ht="13.2" x14ac:dyDescent="0.25">
      <c r="A527" s="17"/>
      <c r="B527" s="17"/>
      <c r="D527" s="18"/>
      <c r="E527" s="18"/>
      <c r="F527" s="18"/>
      <c r="G527" s="18"/>
      <c r="H527" s="49"/>
      <c r="I527" s="21"/>
      <c r="J527" s="22"/>
    </row>
    <row r="528" spans="1:10" ht="13.2" x14ac:dyDescent="0.25">
      <c r="A528" s="17"/>
      <c r="B528" s="17"/>
      <c r="D528" s="18"/>
      <c r="E528" s="18"/>
      <c r="F528" s="18"/>
      <c r="G528" s="18"/>
      <c r="H528" s="49"/>
      <c r="I528" s="21"/>
      <c r="J528" s="22"/>
    </row>
    <row r="529" spans="1:10" ht="13.2" x14ac:dyDescent="0.25">
      <c r="A529" s="17"/>
      <c r="B529" s="17"/>
      <c r="D529" s="18"/>
      <c r="E529" s="18"/>
      <c r="F529" s="18"/>
      <c r="G529" s="18"/>
      <c r="H529" s="49"/>
      <c r="I529" s="21"/>
      <c r="J529" s="22"/>
    </row>
    <row r="530" spans="1:10" ht="13.2" x14ac:dyDescent="0.25">
      <c r="A530" s="17"/>
      <c r="B530" s="17"/>
      <c r="D530" s="18"/>
      <c r="E530" s="18"/>
      <c r="F530" s="18"/>
      <c r="G530" s="18"/>
      <c r="H530" s="49"/>
      <c r="I530" s="21"/>
      <c r="J530" s="22"/>
    </row>
    <row r="531" spans="1:10" ht="13.2" x14ac:dyDescent="0.25">
      <c r="A531" s="17"/>
      <c r="B531" s="17"/>
      <c r="D531" s="18"/>
      <c r="E531" s="18"/>
      <c r="F531" s="18"/>
      <c r="G531" s="18"/>
      <c r="H531" s="49"/>
      <c r="I531" s="21"/>
      <c r="J531" s="22"/>
    </row>
    <row r="532" spans="1:10" ht="13.2" x14ac:dyDescent="0.25">
      <c r="A532" s="17"/>
      <c r="B532" s="17"/>
      <c r="D532" s="18"/>
      <c r="E532" s="18"/>
      <c r="F532" s="18"/>
      <c r="G532" s="18"/>
      <c r="H532" s="49"/>
      <c r="I532" s="21"/>
      <c r="J532" s="22"/>
    </row>
    <row r="533" spans="1:10" ht="13.2" x14ac:dyDescent="0.25">
      <c r="A533" s="17"/>
      <c r="B533" s="17"/>
      <c r="D533" s="18"/>
      <c r="E533" s="18"/>
      <c r="F533" s="18"/>
      <c r="G533" s="18"/>
      <c r="H533" s="49"/>
      <c r="I533" s="21"/>
      <c r="J533" s="22"/>
    </row>
    <row r="534" spans="1:10" ht="13.2" x14ac:dyDescent="0.25">
      <c r="A534" s="17"/>
      <c r="B534" s="17"/>
      <c r="D534" s="18"/>
      <c r="E534" s="18"/>
      <c r="F534" s="18"/>
      <c r="G534" s="18"/>
      <c r="H534" s="49"/>
      <c r="I534" s="21"/>
      <c r="J534" s="22"/>
    </row>
    <row r="535" spans="1:10" ht="13.2" x14ac:dyDescent="0.25">
      <c r="A535" s="17"/>
      <c r="B535" s="17"/>
      <c r="D535" s="18"/>
      <c r="E535" s="18"/>
      <c r="F535" s="18"/>
      <c r="G535" s="18"/>
      <c r="H535" s="49"/>
      <c r="I535" s="21"/>
      <c r="J535" s="22"/>
    </row>
    <row r="536" spans="1:10" ht="13.2" x14ac:dyDescent="0.25">
      <c r="A536" s="17"/>
      <c r="B536" s="17"/>
      <c r="D536" s="18"/>
      <c r="E536" s="18"/>
      <c r="F536" s="18"/>
      <c r="G536" s="18"/>
      <c r="H536" s="49"/>
      <c r="I536" s="21"/>
      <c r="J536" s="22"/>
    </row>
    <row r="537" spans="1:10" ht="13.2" x14ac:dyDescent="0.25">
      <c r="A537" s="17"/>
      <c r="B537" s="17"/>
      <c r="D537" s="18"/>
      <c r="E537" s="18"/>
      <c r="F537" s="18"/>
      <c r="G537" s="18"/>
      <c r="H537" s="49"/>
      <c r="I537" s="21"/>
      <c r="J537" s="22"/>
    </row>
    <row r="538" spans="1:10" ht="13.2" x14ac:dyDescent="0.25">
      <c r="A538" s="17"/>
      <c r="B538" s="17"/>
      <c r="D538" s="18"/>
      <c r="E538" s="18"/>
      <c r="F538" s="18"/>
      <c r="G538" s="18"/>
      <c r="H538" s="49"/>
      <c r="I538" s="21"/>
      <c r="J538" s="22"/>
    </row>
    <row r="539" spans="1:10" ht="13.2" x14ac:dyDescent="0.25">
      <c r="A539" s="17"/>
      <c r="B539" s="17"/>
      <c r="D539" s="18"/>
      <c r="E539" s="18"/>
      <c r="F539" s="18"/>
      <c r="G539" s="18"/>
      <c r="H539" s="49"/>
      <c r="I539" s="21"/>
      <c r="J539" s="22"/>
    </row>
    <row r="540" spans="1:10" ht="13.2" x14ac:dyDescent="0.25">
      <c r="A540" s="17"/>
      <c r="B540" s="17"/>
      <c r="D540" s="18"/>
      <c r="E540" s="18"/>
      <c r="F540" s="18"/>
      <c r="G540" s="18"/>
      <c r="H540" s="49"/>
      <c r="I540" s="21"/>
      <c r="J540" s="22"/>
    </row>
    <row r="541" spans="1:10" ht="13.2" x14ac:dyDescent="0.25">
      <c r="A541" s="17"/>
      <c r="B541" s="17"/>
      <c r="D541" s="18"/>
      <c r="E541" s="18"/>
      <c r="F541" s="18"/>
      <c r="G541" s="18"/>
      <c r="H541" s="49"/>
      <c r="I541" s="21"/>
      <c r="J541" s="22"/>
    </row>
    <row r="542" spans="1:10" ht="13.2" x14ac:dyDescent="0.25">
      <c r="A542" s="17"/>
      <c r="B542" s="17"/>
      <c r="D542" s="18"/>
      <c r="E542" s="18"/>
      <c r="F542" s="18"/>
      <c r="G542" s="18"/>
      <c r="H542" s="49"/>
      <c r="I542" s="21"/>
      <c r="J542" s="22"/>
    </row>
    <row r="543" spans="1:10" ht="13.2" x14ac:dyDescent="0.25">
      <c r="A543" s="17"/>
      <c r="B543" s="17"/>
      <c r="D543" s="18"/>
      <c r="E543" s="18"/>
      <c r="F543" s="18"/>
      <c r="G543" s="18"/>
      <c r="H543" s="49"/>
      <c r="I543" s="21"/>
      <c r="J543" s="22"/>
    </row>
    <row r="544" spans="1:10" ht="13.2" x14ac:dyDescent="0.25">
      <c r="A544" s="17"/>
      <c r="B544" s="17"/>
      <c r="D544" s="18"/>
      <c r="E544" s="18"/>
      <c r="F544" s="18"/>
      <c r="G544" s="18"/>
      <c r="H544" s="49"/>
      <c r="I544" s="21"/>
      <c r="J544" s="22"/>
    </row>
    <row r="545" spans="1:10" ht="13.2" x14ac:dyDescent="0.25">
      <c r="A545" s="17"/>
      <c r="B545" s="17"/>
      <c r="D545" s="18"/>
      <c r="E545" s="18"/>
      <c r="F545" s="18"/>
      <c r="G545" s="18"/>
      <c r="H545" s="49"/>
      <c r="I545" s="21"/>
      <c r="J545" s="22"/>
    </row>
    <row r="546" spans="1:10" ht="13.2" x14ac:dyDescent="0.25">
      <c r="A546" s="17"/>
      <c r="B546" s="17"/>
      <c r="D546" s="18"/>
      <c r="E546" s="18"/>
      <c r="F546" s="18"/>
      <c r="G546" s="18"/>
      <c r="H546" s="49"/>
      <c r="I546" s="21"/>
      <c r="J546" s="22"/>
    </row>
    <row r="547" spans="1:10" ht="13.2" x14ac:dyDescent="0.25">
      <c r="A547" s="17"/>
      <c r="B547" s="17"/>
      <c r="D547" s="18"/>
      <c r="E547" s="18"/>
      <c r="F547" s="18"/>
      <c r="G547" s="18"/>
      <c r="H547" s="49"/>
      <c r="I547" s="21"/>
      <c r="J547" s="22"/>
    </row>
    <row r="548" spans="1:10" ht="13.2" x14ac:dyDescent="0.25">
      <c r="A548" s="17"/>
      <c r="B548" s="17"/>
      <c r="D548" s="18"/>
      <c r="E548" s="18"/>
      <c r="F548" s="18"/>
      <c r="G548" s="18"/>
      <c r="H548" s="49"/>
      <c r="I548" s="21"/>
      <c r="J548" s="22"/>
    </row>
    <row r="549" spans="1:10" ht="13.2" x14ac:dyDescent="0.25">
      <c r="A549" s="17"/>
      <c r="B549" s="17"/>
      <c r="D549" s="18"/>
      <c r="E549" s="18"/>
      <c r="F549" s="18"/>
      <c r="G549" s="18"/>
      <c r="H549" s="49"/>
      <c r="I549" s="21"/>
      <c r="J549" s="22"/>
    </row>
    <row r="550" spans="1:10" ht="13.2" x14ac:dyDescent="0.25">
      <c r="A550" s="17"/>
      <c r="B550" s="17"/>
      <c r="D550" s="18"/>
      <c r="E550" s="18"/>
      <c r="F550" s="18"/>
      <c r="G550" s="18"/>
      <c r="H550" s="49"/>
      <c r="I550" s="21"/>
      <c r="J550" s="22"/>
    </row>
    <row r="551" spans="1:10" ht="13.2" x14ac:dyDescent="0.25">
      <c r="A551" s="17"/>
      <c r="B551" s="17"/>
      <c r="D551" s="18"/>
      <c r="E551" s="18"/>
      <c r="F551" s="18"/>
      <c r="G551" s="18"/>
      <c r="H551" s="49"/>
      <c r="I551" s="21"/>
      <c r="J551" s="22"/>
    </row>
    <row r="552" spans="1:10" ht="13.2" x14ac:dyDescent="0.25">
      <c r="A552" s="17"/>
      <c r="B552" s="17"/>
      <c r="D552" s="18"/>
      <c r="E552" s="18"/>
      <c r="F552" s="18"/>
      <c r="G552" s="18"/>
      <c r="H552" s="49"/>
      <c r="I552" s="21"/>
      <c r="J552" s="22"/>
    </row>
    <row r="553" spans="1:10" ht="13.2" x14ac:dyDescent="0.25">
      <c r="A553" s="17"/>
      <c r="B553" s="17"/>
      <c r="D553" s="18"/>
      <c r="E553" s="18"/>
      <c r="F553" s="18"/>
      <c r="G553" s="18"/>
      <c r="H553" s="49"/>
      <c r="I553" s="21"/>
      <c r="J553" s="22"/>
    </row>
    <row r="554" spans="1:10" ht="13.2" x14ac:dyDescent="0.25">
      <c r="A554" s="17"/>
      <c r="B554" s="17"/>
      <c r="D554" s="18"/>
      <c r="E554" s="18"/>
      <c r="F554" s="18"/>
      <c r="G554" s="18"/>
      <c r="H554" s="49"/>
      <c r="I554" s="21"/>
      <c r="J554" s="22"/>
    </row>
    <row r="555" spans="1:10" ht="13.2" x14ac:dyDescent="0.25">
      <c r="A555" s="17"/>
      <c r="B555" s="17"/>
      <c r="D555" s="18"/>
      <c r="E555" s="18"/>
      <c r="F555" s="18"/>
      <c r="G555" s="18"/>
      <c r="H555" s="49"/>
      <c r="I555" s="21"/>
      <c r="J555" s="22"/>
    </row>
    <row r="556" spans="1:10" ht="13.2" x14ac:dyDescent="0.25">
      <c r="A556" s="17"/>
      <c r="B556" s="17"/>
      <c r="D556" s="18"/>
      <c r="E556" s="18"/>
      <c r="F556" s="18"/>
      <c r="G556" s="18"/>
      <c r="H556" s="49"/>
      <c r="I556" s="21"/>
      <c r="J556" s="22"/>
    </row>
    <row r="557" spans="1:10" ht="13.2" x14ac:dyDescent="0.25">
      <c r="A557" s="17"/>
      <c r="B557" s="17"/>
      <c r="D557" s="18"/>
      <c r="E557" s="18"/>
      <c r="F557" s="18"/>
      <c r="G557" s="18"/>
      <c r="H557" s="49"/>
      <c r="I557" s="21"/>
      <c r="J557" s="22"/>
    </row>
    <row r="558" spans="1:10" ht="13.2" x14ac:dyDescent="0.25">
      <c r="A558" s="17"/>
      <c r="B558" s="17"/>
      <c r="D558" s="18"/>
      <c r="E558" s="18"/>
      <c r="F558" s="18"/>
      <c r="G558" s="18"/>
      <c r="H558" s="49"/>
      <c r="I558" s="21"/>
      <c r="J558" s="22"/>
    </row>
    <row r="559" spans="1:10" ht="13.2" x14ac:dyDescent="0.25">
      <c r="A559" s="17"/>
      <c r="B559" s="17"/>
      <c r="D559" s="18"/>
      <c r="E559" s="18"/>
      <c r="F559" s="18"/>
      <c r="G559" s="18"/>
      <c r="H559" s="49"/>
      <c r="I559" s="21"/>
      <c r="J559" s="22"/>
    </row>
    <row r="560" spans="1:10" ht="13.2" x14ac:dyDescent="0.25">
      <c r="A560" s="17"/>
      <c r="B560" s="17"/>
      <c r="D560" s="18"/>
      <c r="E560" s="18"/>
      <c r="F560" s="18"/>
      <c r="G560" s="18"/>
      <c r="H560" s="49"/>
      <c r="I560" s="21"/>
      <c r="J560" s="22"/>
    </row>
    <row r="561" spans="1:10" ht="13.2" x14ac:dyDescent="0.25">
      <c r="A561" s="17"/>
      <c r="B561" s="17"/>
      <c r="D561" s="18"/>
      <c r="E561" s="18"/>
      <c r="F561" s="18"/>
      <c r="G561" s="18"/>
      <c r="H561" s="49"/>
      <c r="I561" s="21"/>
      <c r="J561" s="22"/>
    </row>
    <row r="562" spans="1:10" ht="13.2" x14ac:dyDescent="0.25">
      <c r="A562" s="17"/>
      <c r="B562" s="17"/>
      <c r="D562" s="18"/>
      <c r="E562" s="18"/>
      <c r="F562" s="18"/>
      <c r="G562" s="18"/>
      <c r="H562" s="49"/>
      <c r="I562" s="21"/>
      <c r="J562" s="22"/>
    </row>
    <row r="563" spans="1:10" ht="13.2" x14ac:dyDescent="0.25">
      <c r="A563" s="17"/>
      <c r="B563" s="17"/>
      <c r="D563" s="18"/>
      <c r="E563" s="18"/>
      <c r="F563" s="18"/>
      <c r="G563" s="18"/>
      <c r="H563" s="49"/>
      <c r="I563" s="21"/>
      <c r="J563" s="22"/>
    </row>
    <row r="564" spans="1:10" ht="13.2" x14ac:dyDescent="0.25">
      <c r="A564" s="17"/>
      <c r="B564" s="17"/>
      <c r="D564" s="18"/>
      <c r="E564" s="18"/>
      <c r="F564" s="18"/>
      <c r="G564" s="18"/>
      <c r="H564" s="49"/>
      <c r="I564" s="21"/>
      <c r="J564" s="22"/>
    </row>
    <row r="565" spans="1:10" ht="13.2" x14ac:dyDescent="0.25">
      <c r="A565" s="17"/>
      <c r="B565" s="17"/>
      <c r="D565" s="18"/>
      <c r="E565" s="18"/>
      <c r="F565" s="18"/>
      <c r="G565" s="18"/>
      <c r="H565" s="49"/>
      <c r="I565" s="21"/>
      <c r="J565" s="22"/>
    </row>
    <row r="566" spans="1:10" ht="13.2" x14ac:dyDescent="0.25">
      <c r="A566" s="17"/>
      <c r="B566" s="17"/>
      <c r="D566" s="18"/>
      <c r="E566" s="18"/>
      <c r="F566" s="18"/>
      <c r="G566" s="18"/>
      <c r="H566" s="49"/>
      <c r="I566" s="21"/>
      <c r="J566" s="22"/>
    </row>
    <row r="567" spans="1:10" ht="13.2" x14ac:dyDescent="0.25">
      <c r="A567" s="17"/>
      <c r="B567" s="17"/>
      <c r="D567" s="18"/>
      <c r="E567" s="18"/>
      <c r="F567" s="18"/>
      <c r="G567" s="18"/>
      <c r="H567" s="49"/>
      <c r="I567" s="21"/>
      <c r="J567" s="22"/>
    </row>
    <row r="568" spans="1:10" ht="13.2" x14ac:dyDescent="0.25">
      <c r="A568" s="17"/>
      <c r="B568" s="17"/>
      <c r="D568" s="18"/>
      <c r="E568" s="18"/>
      <c r="F568" s="18"/>
      <c r="G568" s="18"/>
      <c r="H568" s="49"/>
      <c r="I568" s="21"/>
      <c r="J568" s="22"/>
    </row>
    <row r="569" spans="1:10" ht="13.2" x14ac:dyDescent="0.25">
      <c r="A569" s="17"/>
      <c r="B569" s="17"/>
      <c r="D569" s="18"/>
      <c r="E569" s="18"/>
      <c r="F569" s="18"/>
      <c r="G569" s="18"/>
      <c r="H569" s="49"/>
      <c r="I569" s="21"/>
      <c r="J569" s="22"/>
    </row>
    <row r="570" spans="1:10" ht="13.2" x14ac:dyDescent="0.25">
      <c r="A570" s="17"/>
      <c r="B570" s="17"/>
      <c r="D570" s="18"/>
      <c r="E570" s="18"/>
      <c r="F570" s="18"/>
      <c r="G570" s="18"/>
      <c r="H570" s="49"/>
      <c r="I570" s="21"/>
      <c r="J570" s="22"/>
    </row>
    <row r="571" spans="1:10" ht="13.2" x14ac:dyDescent="0.25">
      <c r="A571" s="17"/>
      <c r="B571" s="17"/>
      <c r="D571" s="18"/>
      <c r="E571" s="18"/>
      <c r="F571" s="18"/>
      <c r="G571" s="18"/>
      <c r="H571" s="49"/>
      <c r="I571" s="21"/>
      <c r="J571" s="22"/>
    </row>
    <row r="572" spans="1:10" ht="13.2" x14ac:dyDescent="0.25">
      <c r="A572" s="17"/>
      <c r="B572" s="17"/>
      <c r="D572" s="18"/>
      <c r="E572" s="18"/>
      <c r="F572" s="18"/>
      <c r="G572" s="18"/>
      <c r="H572" s="49"/>
      <c r="I572" s="21"/>
      <c r="J572" s="22"/>
    </row>
    <row r="573" spans="1:10" ht="13.2" x14ac:dyDescent="0.25">
      <c r="A573" s="17"/>
      <c r="B573" s="17"/>
      <c r="D573" s="18"/>
      <c r="E573" s="18"/>
      <c r="F573" s="18"/>
      <c r="G573" s="18"/>
      <c r="H573" s="49"/>
      <c r="I573" s="21"/>
      <c r="J573" s="22"/>
    </row>
    <row r="574" spans="1:10" ht="13.2" x14ac:dyDescent="0.25">
      <c r="A574" s="17"/>
      <c r="B574" s="17"/>
      <c r="D574" s="18"/>
      <c r="E574" s="18"/>
      <c r="F574" s="18"/>
      <c r="G574" s="18"/>
      <c r="H574" s="49"/>
      <c r="I574" s="21"/>
      <c r="J574" s="22"/>
    </row>
    <row r="575" spans="1:10" ht="13.2" x14ac:dyDescent="0.25">
      <c r="A575" s="17"/>
      <c r="B575" s="17"/>
      <c r="D575" s="18"/>
      <c r="E575" s="18"/>
      <c r="F575" s="18"/>
      <c r="G575" s="18"/>
      <c r="H575" s="49"/>
      <c r="I575" s="21"/>
      <c r="J575" s="22"/>
    </row>
    <row r="576" spans="1:10" ht="13.2" x14ac:dyDescent="0.25">
      <c r="A576" s="17"/>
      <c r="B576" s="17"/>
      <c r="D576" s="18"/>
      <c r="E576" s="18"/>
      <c r="F576" s="18"/>
      <c r="G576" s="18"/>
      <c r="H576" s="49"/>
      <c r="I576" s="21"/>
      <c r="J576" s="22"/>
    </row>
    <row r="577" spans="1:10" ht="13.2" x14ac:dyDescent="0.25">
      <c r="A577" s="17"/>
      <c r="B577" s="17"/>
      <c r="D577" s="18"/>
      <c r="E577" s="18"/>
      <c r="F577" s="18"/>
      <c r="G577" s="18"/>
      <c r="H577" s="49"/>
      <c r="I577" s="21"/>
      <c r="J577" s="22"/>
    </row>
    <row r="578" spans="1:10" ht="13.2" x14ac:dyDescent="0.25">
      <c r="A578" s="17"/>
      <c r="B578" s="17"/>
      <c r="D578" s="18"/>
      <c r="E578" s="18"/>
      <c r="F578" s="18"/>
      <c r="G578" s="18"/>
      <c r="H578" s="49"/>
      <c r="I578" s="21"/>
      <c r="J578" s="22"/>
    </row>
    <row r="579" spans="1:10" ht="13.2" x14ac:dyDescent="0.25">
      <c r="A579" s="17"/>
      <c r="B579" s="17"/>
      <c r="D579" s="18"/>
      <c r="E579" s="18"/>
      <c r="F579" s="18"/>
      <c r="G579" s="18"/>
      <c r="H579" s="49"/>
      <c r="I579" s="21"/>
      <c r="J579" s="22"/>
    </row>
    <row r="580" spans="1:10" ht="13.2" x14ac:dyDescent="0.25">
      <c r="A580" s="17"/>
      <c r="B580" s="17"/>
      <c r="D580" s="18"/>
      <c r="E580" s="18"/>
      <c r="F580" s="18"/>
      <c r="G580" s="18"/>
      <c r="H580" s="49"/>
      <c r="I580" s="21"/>
      <c r="J580" s="22"/>
    </row>
    <row r="581" spans="1:10" ht="13.2" x14ac:dyDescent="0.25">
      <c r="A581" s="17"/>
      <c r="B581" s="17"/>
      <c r="D581" s="18"/>
      <c r="E581" s="18"/>
      <c r="F581" s="18"/>
      <c r="G581" s="18"/>
      <c r="H581" s="49"/>
      <c r="I581" s="21"/>
      <c r="J581" s="22"/>
    </row>
    <row r="582" spans="1:10" ht="13.2" x14ac:dyDescent="0.25">
      <c r="A582" s="17"/>
      <c r="B582" s="17"/>
      <c r="D582" s="18"/>
      <c r="E582" s="18"/>
      <c r="F582" s="18"/>
      <c r="G582" s="18"/>
      <c r="H582" s="49"/>
      <c r="I582" s="21"/>
      <c r="J582" s="22"/>
    </row>
    <row r="583" spans="1:10" ht="13.2" x14ac:dyDescent="0.25">
      <c r="A583" s="17"/>
      <c r="B583" s="17"/>
      <c r="D583" s="18"/>
      <c r="E583" s="18"/>
      <c r="F583" s="18"/>
      <c r="G583" s="18"/>
      <c r="H583" s="49"/>
      <c r="I583" s="21"/>
      <c r="J583" s="22"/>
    </row>
    <row r="584" spans="1:10" ht="13.2" x14ac:dyDescent="0.25">
      <c r="A584" s="17"/>
      <c r="B584" s="17"/>
      <c r="D584" s="18"/>
      <c r="E584" s="18"/>
      <c r="F584" s="18"/>
      <c r="G584" s="18"/>
      <c r="H584" s="49"/>
      <c r="I584" s="21"/>
      <c r="J584" s="22"/>
    </row>
    <row r="585" spans="1:10" ht="13.2" x14ac:dyDescent="0.25">
      <c r="A585" s="17"/>
      <c r="B585" s="17"/>
      <c r="D585" s="18"/>
      <c r="E585" s="18"/>
      <c r="F585" s="18"/>
      <c r="G585" s="18"/>
      <c r="H585" s="49"/>
      <c r="I585" s="21"/>
      <c r="J585" s="22"/>
    </row>
    <row r="586" spans="1:10" ht="13.2" x14ac:dyDescent="0.25">
      <c r="A586" s="17"/>
      <c r="B586" s="17"/>
      <c r="D586" s="18"/>
      <c r="E586" s="18"/>
      <c r="F586" s="18"/>
      <c r="G586" s="18"/>
      <c r="H586" s="49"/>
      <c r="I586" s="21"/>
      <c r="J586" s="22"/>
    </row>
    <row r="587" spans="1:10" ht="13.2" x14ac:dyDescent="0.25">
      <c r="A587" s="17"/>
      <c r="B587" s="17"/>
      <c r="D587" s="18"/>
      <c r="E587" s="18"/>
      <c r="F587" s="18"/>
      <c r="G587" s="18"/>
      <c r="H587" s="49"/>
      <c r="I587" s="21"/>
      <c r="J587" s="22"/>
    </row>
    <row r="588" spans="1:10" ht="13.2" x14ac:dyDescent="0.25">
      <c r="A588" s="17"/>
      <c r="B588" s="17"/>
      <c r="D588" s="18"/>
      <c r="E588" s="18"/>
      <c r="F588" s="18"/>
      <c r="G588" s="18"/>
      <c r="H588" s="49"/>
      <c r="I588" s="21"/>
      <c r="J588" s="22"/>
    </row>
    <row r="589" spans="1:10" ht="13.2" x14ac:dyDescent="0.25">
      <c r="A589" s="17"/>
      <c r="B589" s="17"/>
      <c r="D589" s="18"/>
      <c r="E589" s="18"/>
      <c r="F589" s="18"/>
      <c r="G589" s="18"/>
      <c r="H589" s="49"/>
      <c r="I589" s="21"/>
      <c r="J589" s="22"/>
    </row>
    <row r="590" spans="1:10" ht="13.2" x14ac:dyDescent="0.25">
      <c r="A590" s="17"/>
      <c r="B590" s="17"/>
      <c r="D590" s="18"/>
      <c r="E590" s="18"/>
      <c r="F590" s="18"/>
      <c r="G590" s="18"/>
      <c r="H590" s="49"/>
      <c r="I590" s="21"/>
      <c r="J590" s="22"/>
    </row>
    <row r="591" spans="1:10" ht="13.2" x14ac:dyDescent="0.25">
      <c r="A591" s="17"/>
      <c r="B591" s="17"/>
      <c r="D591" s="18"/>
      <c r="E591" s="18"/>
      <c r="F591" s="18"/>
      <c r="G591" s="18"/>
      <c r="H591" s="49"/>
      <c r="I591" s="21"/>
      <c r="J591" s="22"/>
    </row>
    <row r="592" spans="1:10" ht="13.2" x14ac:dyDescent="0.25">
      <c r="A592" s="17"/>
      <c r="B592" s="17"/>
      <c r="D592" s="18"/>
      <c r="E592" s="18"/>
      <c r="F592" s="18"/>
      <c r="G592" s="18"/>
      <c r="H592" s="49"/>
      <c r="I592" s="21"/>
      <c r="J592" s="22"/>
    </row>
    <row r="593" spans="1:10" ht="13.2" x14ac:dyDescent="0.25">
      <c r="A593" s="17"/>
      <c r="B593" s="17"/>
      <c r="D593" s="18"/>
      <c r="E593" s="18"/>
      <c r="F593" s="18"/>
      <c r="G593" s="18"/>
      <c r="H593" s="49"/>
      <c r="I593" s="21"/>
      <c r="J593" s="22"/>
    </row>
    <row r="594" spans="1:10" ht="13.2" x14ac:dyDescent="0.25">
      <c r="A594" s="17"/>
      <c r="B594" s="17"/>
      <c r="D594" s="18"/>
      <c r="E594" s="18"/>
      <c r="F594" s="18"/>
      <c r="G594" s="18"/>
      <c r="H594" s="49"/>
      <c r="I594" s="21"/>
      <c r="J594" s="22"/>
    </row>
    <row r="595" spans="1:10" ht="13.2" x14ac:dyDescent="0.25">
      <c r="A595" s="17"/>
      <c r="B595" s="17"/>
      <c r="D595" s="18"/>
      <c r="E595" s="18"/>
      <c r="F595" s="18"/>
      <c r="G595" s="18"/>
      <c r="H595" s="49"/>
      <c r="I595" s="21"/>
      <c r="J595" s="22"/>
    </row>
    <row r="596" spans="1:10" ht="13.2" x14ac:dyDescent="0.25">
      <c r="A596" s="17"/>
      <c r="B596" s="17"/>
      <c r="D596" s="18"/>
      <c r="E596" s="18"/>
      <c r="F596" s="18"/>
      <c r="G596" s="18"/>
      <c r="H596" s="49"/>
      <c r="I596" s="21"/>
      <c r="J596" s="22"/>
    </row>
    <row r="597" spans="1:10" ht="13.2" x14ac:dyDescent="0.25">
      <c r="A597" s="17"/>
      <c r="B597" s="17"/>
      <c r="D597" s="18"/>
      <c r="E597" s="18"/>
      <c r="F597" s="18"/>
      <c r="G597" s="18"/>
      <c r="H597" s="49"/>
      <c r="I597" s="21"/>
      <c r="J597" s="22"/>
    </row>
    <row r="598" spans="1:10" ht="13.2" x14ac:dyDescent="0.25">
      <c r="A598" s="17"/>
      <c r="B598" s="17"/>
      <c r="D598" s="18"/>
      <c r="E598" s="18"/>
      <c r="F598" s="18"/>
      <c r="G598" s="18"/>
      <c r="H598" s="49"/>
      <c r="I598" s="21"/>
      <c r="J598" s="22"/>
    </row>
    <row r="599" spans="1:10" ht="13.2" x14ac:dyDescent="0.25">
      <c r="A599" s="17"/>
      <c r="B599" s="17"/>
      <c r="D599" s="18"/>
      <c r="E599" s="18"/>
      <c r="F599" s="18"/>
      <c r="G599" s="18"/>
      <c r="H599" s="49"/>
      <c r="I599" s="21"/>
      <c r="J599" s="22"/>
    </row>
    <row r="600" spans="1:10" ht="13.2" x14ac:dyDescent="0.25">
      <c r="A600" s="17"/>
      <c r="B600" s="17"/>
      <c r="D600" s="18"/>
      <c r="E600" s="18"/>
      <c r="F600" s="18"/>
      <c r="G600" s="18"/>
      <c r="H600" s="49"/>
      <c r="I600" s="21"/>
      <c r="J600" s="22"/>
    </row>
    <row r="601" spans="1:10" ht="13.2" x14ac:dyDescent="0.25">
      <c r="A601" s="17"/>
      <c r="B601" s="17"/>
      <c r="D601" s="18"/>
      <c r="E601" s="18"/>
      <c r="F601" s="18"/>
      <c r="G601" s="18"/>
      <c r="H601" s="49"/>
      <c r="I601" s="21"/>
      <c r="J601" s="22"/>
    </row>
    <row r="602" spans="1:10" ht="13.2" x14ac:dyDescent="0.25">
      <c r="A602" s="17"/>
      <c r="B602" s="17"/>
      <c r="D602" s="18"/>
      <c r="E602" s="18"/>
      <c r="F602" s="18"/>
      <c r="G602" s="18"/>
      <c r="H602" s="49"/>
      <c r="I602" s="21"/>
      <c r="J602" s="22"/>
    </row>
    <row r="603" spans="1:10" ht="13.2" x14ac:dyDescent="0.25">
      <c r="A603" s="17"/>
      <c r="B603" s="17"/>
      <c r="D603" s="18"/>
      <c r="E603" s="18"/>
      <c r="F603" s="18"/>
      <c r="G603" s="18"/>
      <c r="H603" s="49"/>
      <c r="I603" s="21"/>
      <c r="J603" s="22"/>
    </row>
    <row r="604" spans="1:10" ht="13.2" x14ac:dyDescent="0.25">
      <c r="A604" s="17"/>
      <c r="B604" s="17"/>
      <c r="D604" s="18"/>
      <c r="E604" s="18"/>
      <c r="F604" s="18"/>
      <c r="G604" s="18"/>
      <c r="H604" s="49"/>
      <c r="I604" s="21"/>
      <c r="J604" s="22"/>
    </row>
    <row r="605" spans="1:10" ht="13.2" x14ac:dyDescent="0.25">
      <c r="A605" s="17"/>
      <c r="B605" s="17"/>
      <c r="D605" s="18"/>
      <c r="E605" s="18"/>
      <c r="F605" s="18"/>
      <c r="G605" s="18"/>
      <c r="H605" s="49"/>
      <c r="I605" s="21"/>
      <c r="J605" s="22"/>
    </row>
    <row r="606" spans="1:10" ht="13.2" x14ac:dyDescent="0.25">
      <c r="A606" s="17"/>
      <c r="B606" s="17"/>
      <c r="D606" s="18"/>
      <c r="E606" s="18"/>
      <c r="F606" s="18"/>
      <c r="G606" s="18"/>
      <c r="H606" s="49"/>
      <c r="I606" s="21"/>
      <c r="J606" s="22"/>
    </row>
    <row r="607" spans="1:10" ht="13.2" x14ac:dyDescent="0.25">
      <c r="A607" s="17"/>
      <c r="B607" s="17"/>
      <c r="D607" s="18"/>
      <c r="E607" s="18"/>
      <c r="F607" s="18"/>
      <c r="G607" s="18"/>
      <c r="H607" s="49"/>
      <c r="I607" s="21"/>
      <c r="J607" s="22"/>
    </row>
    <row r="608" spans="1:10" ht="13.2" x14ac:dyDescent="0.25">
      <c r="A608" s="17"/>
      <c r="B608" s="17"/>
      <c r="D608" s="18"/>
      <c r="E608" s="18"/>
      <c r="F608" s="18"/>
      <c r="G608" s="18"/>
      <c r="H608" s="49"/>
      <c r="I608" s="21"/>
      <c r="J608" s="22"/>
    </row>
    <row r="609" spans="1:10" ht="13.2" x14ac:dyDescent="0.25">
      <c r="A609" s="17"/>
      <c r="B609" s="17"/>
      <c r="D609" s="18"/>
      <c r="E609" s="18"/>
      <c r="F609" s="18"/>
      <c r="G609" s="18"/>
      <c r="H609" s="49"/>
      <c r="I609" s="21"/>
      <c r="J609" s="22"/>
    </row>
    <row r="610" spans="1:10" ht="13.2" x14ac:dyDescent="0.25">
      <c r="A610" s="17"/>
      <c r="B610" s="17"/>
      <c r="D610" s="18"/>
      <c r="E610" s="18"/>
      <c r="F610" s="18"/>
      <c r="G610" s="18"/>
      <c r="H610" s="49"/>
      <c r="I610" s="21"/>
      <c r="J610" s="22"/>
    </row>
    <row r="611" spans="1:10" ht="13.2" x14ac:dyDescent="0.25">
      <c r="A611" s="17"/>
      <c r="B611" s="17"/>
      <c r="D611" s="18"/>
      <c r="E611" s="18"/>
      <c r="F611" s="18"/>
      <c r="G611" s="18"/>
      <c r="H611" s="49"/>
      <c r="I611" s="21"/>
      <c r="J611" s="22"/>
    </row>
    <row r="612" spans="1:10" ht="13.2" x14ac:dyDescent="0.25">
      <c r="A612" s="17"/>
      <c r="B612" s="17"/>
      <c r="D612" s="18"/>
      <c r="E612" s="18"/>
      <c r="F612" s="18"/>
      <c r="G612" s="18"/>
      <c r="H612" s="49"/>
      <c r="I612" s="21"/>
      <c r="J612" s="22"/>
    </row>
    <row r="613" spans="1:10" ht="13.2" x14ac:dyDescent="0.25">
      <c r="A613" s="17"/>
      <c r="B613" s="17"/>
      <c r="D613" s="18"/>
      <c r="E613" s="18"/>
      <c r="F613" s="18"/>
      <c r="G613" s="18"/>
      <c r="H613" s="49"/>
      <c r="I613" s="21"/>
      <c r="J613" s="22"/>
    </row>
    <row r="614" spans="1:10" ht="13.2" x14ac:dyDescent="0.25">
      <c r="A614" s="17"/>
      <c r="B614" s="17"/>
      <c r="D614" s="18"/>
      <c r="E614" s="18"/>
      <c r="F614" s="18"/>
      <c r="G614" s="18"/>
      <c r="H614" s="49"/>
      <c r="I614" s="21"/>
      <c r="J614" s="22"/>
    </row>
    <row r="615" spans="1:10" ht="13.2" x14ac:dyDescent="0.25">
      <c r="A615" s="17"/>
      <c r="B615" s="17"/>
      <c r="D615" s="18"/>
      <c r="E615" s="18"/>
      <c r="F615" s="18"/>
      <c r="G615" s="18"/>
      <c r="H615" s="49"/>
      <c r="I615" s="21"/>
      <c r="J615" s="22"/>
    </row>
    <row r="616" spans="1:10" ht="13.2" x14ac:dyDescent="0.25">
      <c r="A616" s="17"/>
      <c r="B616" s="17"/>
      <c r="D616" s="18"/>
      <c r="E616" s="18"/>
      <c r="F616" s="18"/>
      <c r="G616" s="18"/>
      <c r="H616" s="49"/>
      <c r="I616" s="21"/>
      <c r="J616" s="22"/>
    </row>
    <row r="617" spans="1:10" ht="13.2" x14ac:dyDescent="0.25">
      <c r="A617" s="17"/>
      <c r="B617" s="17"/>
      <c r="D617" s="18"/>
      <c r="E617" s="18"/>
      <c r="F617" s="18"/>
      <c r="G617" s="18"/>
      <c r="H617" s="49"/>
      <c r="I617" s="21"/>
      <c r="J617" s="22"/>
    </row>
    <row r="618" spans="1:10" ht="13.2" x14ac:dyDescent="0.25">
      <c r="A618" s="17"/>
      <c r="B618" s="17"/>
      <c r="D618" s="18"/>
      <c r="E618" s="18"/>
      <c r="F618" s="18"/>
      <c r="G618" s="18"/>
      <c r="H618" s="49"/>
      <c r="I618" s="21"/>
      <c r="J618" s="22"/>
    </row>
    <row r="619" spans="1:10" ht="13.2" x14ac:dyDescent="0.25">
      <c r="A619" s="17"/>
      <c r="B619" s="17"/>
      <c r="D619" s="18"/>
      <c r="E619" s="18"/>
      <c r="F619" s="18"/>
      <c r="G619" s="18"/>
      <c r="H619" s="49"/>
      <c r="I619" s="21"/>
      <c r="J619" s="22"/>
    </row>
    <row r="620" spans="1:10" ht="13.2" x14ac:dyDescent="0.25">
      <c r="A620" s="17"/>
      <c r="B620" s="17"/>
      <c r="D620" s="18"/>
      <c r="E620" s="18"/>
      <c r="F620" s="18"/>
      <c r="G620" s="18"/>
      <c r="H620" s="49"/>
      <c r="I620" s="21"/>
      <c r="J620" s="22"/>
    </row>
    <row r="621" spans="1:10" ht="13.2" x14ac:dyDescent="0.25">
      <c r="A621" s="17"/>
      <c r="B621" s="17"/>
      <c r="D621" s="18"/>
      <c r="E621" s="18"/>
      <c r="F621" s="18"/>
      <c r="G621" s="18"/>
      <c r="H621" s="49"/>
      <c r="I621" s="21"/>
      <c r="J621" s="22"/>
    </row>
    <row r="622" spans="1:10" ht="13.2" x14ac:dyDescent="0.25">
      <c r="A622" s="17"/>
      <c r="B622" s="17"/>
      <c r="D622" s="18"/>
      <c r="E622" s="18"/>
      <c r="F622" s="18"/>
      <c r="G622" s="18"/>
      <c r="H622" s="49"/>
      <c r="I622" s="21"/>
      <c r="J622" s="22"/>
    </row>
    <row r="623" spans="1:10" ht="13.2" x14ac:dyDescent="0.25">
      <c r="A623" s="17"/>
      <c r="B623" s="17"/>
      <c r="D623" s="18"/>
      <c r="E623" s="18"/>
      <c r="F623" s="18"/>
      <c r="G623" s="18"/>
      <c r="H623" s="49"/>
      <c r="I623" s="21"/>
      <c r="J623" s="22"/>
    </row>
    <row r="624" spans="1:10" ht="13.2" x14ac:dyDescent="0.25">
      <c r="A624" s="17"/>
      <c r="B624" s="17"/>
      <c r="D624" s="18"/>
      <c r="E624" s="18"/>
      <c r="F624" s="18"/>
      <c r="G624" s="18"/>
      <c r="H624" s="49"/>
      <c r="I624" s="21"/>
      <c r="J624" s="22"/>
    </row>
    <row r="625" spans="1:10" ht="13.2" x14ac:dyDescent="0.25">
      <c r="A625" s="17"/>
      <c r="B625" s="17"/>
      <c r="D625" s="18"/>
      <c r="E625" s="18"/>
      <c r="F625" s="18"/>
      <c r="G625" s="18"/>
      <c r="H625" s="49"/>
      <c r="I625" s="21"/>
      <c r="J625" s="22"/>
    </row>
    <row r="626" spans="1:10" ht="13.2" x14ac:dyDescent="0.25">
      <c r="A626" s="17"/>
      <c r="B626" s="17"/>
      <c r="D626" s="18"/>
      <c r="E626" s="18"/>
      <c r="F626" s="18"/>
      <c r="G626" s="18"/>
      <c r="H626" s="49"/>
      <c r="I626" s="21"/>
      <c r="J626" s="22"/>
    </row>
    <row r="627" spans="1:10" ht="13.2" x14ac:dyDescent="0.25">
      <c r="A627" s="17"/>
      <c r="B627" s="17"/>
      <c r="D627" s="18"/>
      <c r="E627" s="18"/>
      <c r="F627" s="18"/>
      <c r="G627" s="18"/>
      <c r="H627" s="49"/>
      <c r="I627" s="21"/>
      <c r="J627" s="22"/>
    </row>
    <row r="628" spans="1:10" ht="13.2" x14ac:dyDescent="0.25">
      <c r="A628" s="17"/>
      <c r="B628" s="17"/>
      <c r="D628" s="18"/>
      <c r="E628" s="18"/>
      <c r="F628" s="18"/>
      <c r="G628" s="18"/>
      <c r="H628" s="49"/>
      <c r="I628" s="21"/>
      <c r="J628" s="22"/>
    </row>
    <row r="629" spans="1:10" ht="13.2" x14ac:dyDescent="0.25">
      <c r="A629" s="17"/>
      <c r="B629" s="17"/>
      <c r="D629" s="18"/>
      <c r="E629" s="18"/>
      <c r="F629" s="18"/>
      <c r="G629" s="18"/>
      <c r="H629" s="49"/>
      <c r="I629" s="21"/>
      <c r="J629" s="22"/>
    </row>
    <row r="630" spans="1:10" ht="13.2" x14ac:dyDescent="0.25">
      <c r="A630" s="17"/>
      <c r="B630" s="17"/>
      <c r="D630" s="18"/>
      <c r="E630" s="18"/>
      <c r="F630" s="18"/>
      <c r="G630" s="18"/>
      <c r="H630" s="49"/>
      <c r="I630" s="21"/>
      <c r="J630" s="22"/>
    </row>
    <row r="631" spans="1:10" ht="13.2" x14ac:dyDescent="0.25">
      <c r="A631" s="17"/>
      <c r="B631" s="17"/>
      <c r="D631" s="18"/>
      <c r="E631" s="18"/>
      <c r="F631" s="18"/>
      <c r="G631" s="18"/>
      <c r="H631" s="49"/>
      <c r="I631" s="21"/>
      <c r="J631" s="22"/>
    </row>
    <row r="632" spans="1:10" ht="13.2" x14ac:dyDescent="0.25">
      <c r="A632" s="17"/>
      <c r="B632" s="17"/>
      <c r="D632" s="18"/>
      <c r="E632" s="18"/>
      <c r="F632" s="18"/>
      <c r="G632" s="18"/>
      <c r="H632" s="49"/>
      <c r="I632" s="21"/>
      <c r="J632" s="22"/>
    </row>
    <row r="633" spans="1:10" ht="13.2" x14ac:dyDescent="0.25">
      <c r="A633" s="17"/>
      <c r="B633" s="17"/>
      <c r="D633" s="18"/>
      <c r="E633" s="18"/>
      <c r="F633" s="18"/>
      <c r="G633" s="18"/>
      <c r="H633" s="49"/>
      <c r="I633" s="21"/>
      <c r="J633" s="22"/>
    </row>
    <row r="634" spans="1:10" ht="13.2" x14ac:dyDescent="0.25">
      <c r="A634" s="17"/>
      <c r="B634" s="17"/>
      <c r="D634" s="18"/>
      <c r="E634" s="18"/>
      <c r="F634" s="18"/>
      <c r="G634" s="18"/>
      <c r="H634" s="49"/>
      <c r="I634" s="21"/>
      <c r="J634" s="22"/>
    </row>
    <row r="635" spans="1:10" ht="13.2" x14ac:dyDescent="0.25">
      <c r="A635" s="17"/>
      <c r="B635" s="17"/>
      <c r="D635" s="18"/>
      <c r="E635" s="18"/>
      <c r="F635" s="18"/>
      <c r="G635" s="18"/>
      <c r="H635" s="49"/>
      <c r="I635" s="21"/>
      <c r="J635" s="22"/>
    </row>
    <row r="636" spans="1:10" ht="13.2" x14ac:dyDescent="0.25">
      <c r="A636" s="17"/>
      <c r="B636" s="17"/>
      <c r="D636" s="18"/>
      <c r="E636" s="18"/>
      <c r="F636" s="18"/>
      <c r="G636" s="18"/>
      <c r="H636" s="49"/>
      <c r="I636" s="21"/>
      <c r="J636" s="22"/>
    </row>
    <row r="637" spans="1:10" ht="13.2" x14ac:dyDescent="0.25">
      <c r="A637" s="17"/>
      <c r="B637" s="17"/>
      <c r="D637" s="18"/>
      <c r="E637" s="18"/>
      <c r="F637" s="18"/>
      <c r="G637" s="18"/>
      <c r="H637" s="49"/>
      <c r="I637" s="21"/>
      <c r="J637" s="22"/>
    </row>
    <row r="638" spans="1:10" ht="13.2" x14ac:dyDescent="0.25">
      <c r="A638" s="17"/>
      <c r="B638" s="17"/>
      <c r="D638" s="18"/>
      <c r="E638" s="18"/>
      <c r="F638" s="18"/>
      <c r="G638" s="18"/>
      <c r="H638" s="49"/>
      <c r="I638" s="21"/>
      <c r="J638" s="22"/>
    </row>
    <row r="639" spans="1:10" ht="13.2" x14ac:dyDescent="0.25">
      <c r="A639" s="17"/>
      <c r="B639" s="17"/>
      <c r="D639" s="18"/>
      <c r="E639" s="18"/>
      <c r="F639" s="18"/>
      <c r="G639" s="18"/>
      <c r="H639" s="49"/>
      <c r="I639" s="21"/>
      <c r="J639" s="22"/>
    </row>
    <row r="640" spans="1:10" ht="13.2" x14ac:dyDescent="0.25">
      <c r="A640" s="17"/>
      <c r="B640" s="17"/>
      <c r="D640" s="18"/>
      <c r="E640" s="18"/>
      <c r="F640" s="18"/>
      <c r="G640" s="18"/>
      <c r="H640" s="49"/>
      <c r="I640" s="21"/>
      <c r="J640" s="22"/>
    </row>
    <row r="641" spans="1:10" ht="13.2" x14ac:dyDescent="0.25">
      <c r="A641" s="17"/>
      <c r="B641" s="17"/>
      <c r="D641" s="18"/>
      <c r="E641" s="18"/>
      <c r="F641" s="18"/>
      <c r="G641" s="18"/>
      <c r="H641" s="49"/>
      <c r="I641" s="21"/>
      <c r="J641" s="22"/>
    </row>
    <row r="642" spans="1:10" ht="13.2" x14ac:dyDescent="0.25">
      <c r="A642" s="17"/>
      <c r="B642" s="17"/>
      <c r="D642" s="18"/>
      <c r="E642" s="18"/>
      <c r="F642" s="18"/>
      <c r="G642" s="18"/>
      <c r="H642" s="49"/>
      <c r="I642" s="21"/>
      <c r="J642" s="22"/>
    </row>
    <row r="643" spans="1:10" ht="13.2" x14ac:dyDescent="0.25">
      <c r="A643" s="17"/>
      <c r="B643" s="17"/>
      <c r="D643" s="18"/>
      <c r="E643" s="18"/>
      <c r="F643" s="18"/>
      <c r="G643" s="18"/>
      <c r="H643" s="49"/>
      <c r="I643" s="21"/>
      <c r="J643" s="22"/>
    </row>
    <row r="644" spans="1:10" ht="13.2" x14ac:dyDescent="0.25">
      <c r="A644" s="17"/>
      <c r="B644" s="17"/>
      <c r="D644" s="18"/>
      <c r="E644" s="18"/>
      <c r="F644" s="18"/>
      <c r="G644" s="18"/>
      <c r="H644" s="49"/>
      <c r="I644" s="21"/>
      <c r="J644" s="22"/>
    </row>
    <row r="645" spans="1:10" ht="13.2" x14ac:dyDescent="0.25">
      <c r="A645" s="17"/>
      <c r="B645" s="17"/>
      <c r="D645" s="18"/>
      <c r="E645" s="18"/>
      <c r="F645" s="18"/>
      <c r="G645" s="18"/>
      <c r="H645" s="49"/>
      <c r="I645" s="21"/>
      <c r="J645" s="22"/>
    </row>
    <row r="646" spans="1:10" ht="13.2" x14ac:dyDescent="0.25">
      <c r="A646" s="17"/>
      <c r="B646" s="17"/>
      <c r="D646" s="18"/>
      <c r="E646" s="18"/>
      <c r="F646" s="18"/>
      <c r="G646" s="18"/>
      <c r="H646" s="49"/>
      <c r="I646" s="21"/>
      <c r="J646" s="22"/>
    </row>
    <row r="647" spans="1:10" ht="13.2" x14ac:dyDescent="0.25">
      <c r="A647" s="17"/>
      <c r="B647" s="17"/>
      <c r="D647" s="18"/>
      <c r="E647" s="18"/>
      <c r="F647" s="18"/>
      <c r="G647" s="18"/>
      <c r="H647" s="49"/>
      <c r="I647" s="21"/>
      <c r="J647" s="22"/>
    </row>
    <row r="648" spans="1:10" ht="13.2" x14ac:dyDescent="0.25">
      <c r="A648" s="17"/>
      <c r="B648" s="17"/>
      <c r="D648" s="18"/>
      <c r="E648" s="18"/>
      <c r="F648" s="18"/>
      <c r="G648" s="18"/>
      <c r="H648" s="49"/>
      <c r="I648" s="21"/>
      <c r="J648" s="22"/>
    </row>
    <row r="649" spans="1:10" ht="13.2" x14ac:dyDescent="0.25">
      <c r="A649" s="17"/>
      <c r="B649" s="17"/>
      <c r="D649" s="18"/>
      <c r="E649" s="18"/>
      <c r="F649" s="18"/>
      <c r="G649" s="18"/>
      <c r="H649" s="49"/>
      <c r="I649" s="21"/>
      <c r="J649" s="22"/>
    </row>
    <row r="650" spans="1:10" ht="13.2" x14ac:dyDescent="0.25">
      <c r="A650" s="17"/>
      <c r="B650" s="17"/>
      <c r="D650" s="18"/>
      <c r="E650" s="18"/>
      <c r="F650" s="18"/>
      <c r="G650" s="18"/>
      <c r="H650" s="49"/>
      <c r="I650" s="21"/>
      <c r="J650" s="22"/>
    </row>
    <row r="651" spans="1:10" ht="13.2" x14ac:dyDescent="0.25">
      <c r="A651" s="17"/>
      <c r="B651" s="17"/>
      <c r="D651" s="18"/>
      <c r="E651" s="18"/>
      <c r="F651" s="18"/>
      <c r="G651" s="18"/>
      <c r="H651" s="49"/>
      <c r="I651" s="21"/>
      <c r="J651" s="22"/>
    </row>
    <row r="652" spans="1:10" ht="13.2" x14ac:dyDescent="0.25">
      <c r="A652" s="17"/>
      <c r="B652" s="17"/>
      <c r="D652" s="18"/>
      <c r="E652" s="18"/>
      <c r="F652" s="18"/>
      <c r="G652" s="18"/>
      <c r="H652" s="49"/>
      <c r="I652" s="21"/>
      <c r="J652" s="22"/>
    </row>
    <row r="653" spans="1:10" ht="13.2" x14ac:dyDescent="0.25">
      <c r="A653" s="17"/>
      <c r="B653" s="17"/>
      <c r="D653" s="18"/>
      <c r="E653" s="18"/>
      <c r="F653" s="18"/>
      <c r="G653" s="18"/>
      <c r="H653" s="49"/>
      <c r="I653" s="21"/>
      <c r="J653" s="22"/>
    </row>
    <row r="654" spans="1:10" ht="13.2" x14ac:dyDescent="0.25">
      <c r="A654" s="17"/>
      <c r="B654" s="17"/>
      <c r="D654" s="18"/>
      <c r="E654" s="18"/>
      <c r="F654" s="18"/>
      <c r="G654" s="18"/>
      <c r="H654" s="49"/>
      <c r="I654" s="21"/>
      <c r="J654" s="22"/>
    </row>
    <row r="655" spans="1:10" ht="13.2" x14ac:dyDescent="0.25">
      <c r="A655" s="17"/>
      <c r="B655" s="17"/>
      <c r="D655" s="18"/>
      <c r="E655" s="18"/>
      <c r="F655" s="18"/>
      <c r="G655" s="18"/>
      <c r="H655" s="49"/>
      <c r="I655" s="21"/>
      <c r="J655" s="22"/>
    </row>
    <row r="656" spans="1:10" ht="13.2" x14ac:dyDescent="0.25">
      <c r="A656" s="17"/>
      <c r="B656" s="17"/>
      <c r="D656" s="18"/>
      <c r="E656" s="18"/>
      <c r="F656" s="18"/>
      <c r="G656" s="18"/>
      <c r="H656" s="49"/>
      <c r="I656" s="21"/>
      <c r="J656" s="22"/>
    </row>
    <row r="657" spans="1:10" ht="13.2" x14ac:dyDescent="0.25">
      <c r="A657" s="17"/>
      <c r="B657" s="17"/>
      <c r="D657" s="18"/>
      <c r="E657" s="18"/>
      <c r="F657" s="18"/>
      <c r="G657" s="18"/>
      <c r="H657" s="49"/>
      <c r="I657" s="21"/>
      <c r="J657" s="22"/>
    </row>
    <row r="658" spans="1:10" ht="13.2" x14ac:dyDescent="0.25">
      <c r="A658" s="17"/>
      <c r="B658" s="17"/>
      <c r="D658" s="18"/>
      <c r="E658" s="18"/>
      <c r="F658" s="18"/>
      <c r="G658" s="18"/>
      <c r="H658" s="49"/>
      <c r="I658" s="21"/>
      <c r="J658" s="22"/>
    </row>
    <row r="659" spans="1:10" ht="13.2" x14ac:dyDescent="0.25">
      <c r="A659" s="17"/>
      <c r="B659" s="17"/>
      <c r="D659" s="18"/>
      <c r="E659" s="18"/>
      <c r="F659" s="18"/>
      <c r="G659" s="18"/>
      <c r="H659" s="49"/>
      <c r="I659" s="21"/>
      <c r="J659" s="22"/>
    </row>
    <row r="660" spans="1:10" ht="13.2" x14ac:dyDescent="0.25">
      <c r="A660" s="17"/>
      <c r="B660" s="17"/>
      <c r="D660" s="18"/>
      <c r="E660" s="18"/>
      <c r="F660" s="18"/>
      <c r="G660" s="18"/>
      <c r="H660" s="49"/>
      <c r="I660" s="21"/>
      <c r="J660" s="22"/>
    </row>
    <row r="661" spans="1:10" ht="13.2" x14ac:dyDescent="0.25">
      <c r="A661" s="17"/>
      <c r="B661" s="17"/>
      <c r="D661" s="18"/>
      <c r="E661" s="18"/>
      <c r="F661" s="18"/>
      <c r="G661" s="18"/>
      <c r="H661" s="49"/>
      <c r="I661" s="21"/>
      <c r="J661" s="22"/>
    </row>
    <row r="662" spans="1:10" ht="13.2" x14ac:dyDescent="0.25">
      <c r="A662" s="17"/>
      <c r="B662" s="17"/>
      <c r="D662" s="18"/>
      <c r="E662" s="18"/>
      <c r="F662" s="18"/>
      <c r="G662" s="18"/>
      <c r="H662" s="49"/>
      <c r="I662" s="21"/>
      <c r="J662" s="22"/>
    </row>
    <row r="663" spans="1:10" ht="13.2" x14ac:dyDescent="0.25">
      <c r="A663" s="17"/>
      <c r="B663" s="17"/>
      <c r="D663" s="18"/>
      <c r="E663" s="18"/>
      <c r="F663" s="18"/>
      <c r="G663" s="18"/>
      <c r="H663" s="49"/>
      <c r="I663" s="21"/>
      <c r="J663" s="22"/>
    </row>
    <row r="664" spans="1:10" ht="13.2" x14ac:dyDescent="0.25">
      <c r="A664" s="17"/>
      <c r="B664" s="17"/>
      <c r="D664" s="18"/>
      <c r="E664" s="18"/>
      <c r="F664" s="18"/>
      <c r="G664" s="18"/>
      <c r="H664" s="49"/>
      <c r="I664" s="21"/>
      <c r="J664" s="22"/>
    </row>
    <row r="665" spans="1:10" ht="13.2" x14ac:dyDescent="0.25">
      <c r="A665" s="17"/>
      <c r="B665" s="17"/>
      <c r="D665" s="18"/>
      <c r="E665" s="18"/>
      <c r="F665" s="18"/>
      <c r="G665" s="18"/>
      <c r="H665" s="49"/>
      <c r="I665" s="21"/>
      <c r="J665" s="22"/>
    </row>
    <row r="666" spans="1:10" ht="13.2" x14ac:dyDescent="0.25">
      <c r="A666" s="17"/>
      <c r="B666" s="17"/>
      <c r="D666" s="18"/>
      <c r="E666" s="18"/>
      <c r="F666" s="18"/>
      <c r="G666" s="18"/>
      <c r="H666" s="49"/>
      <c r="I666" s="21"/>
      <c r="J666" s="22"/>
    </row>
    <row r="667" spans="1:10" ht="13.2" x14ac:dyDescent="0.25">
      <c r="A667" s="17"/>
      <c r="B667" s="17"/>
      <c r="D667" s="18"/>
      <c r="E667" s="18"/>
      <c r="F667" s="18"/>
      <c r="G667" s="18"/>
      <c r="H667" s="49"/>
      <c r="I667" s="21"/>
      <c r="J667" s="22"/>
    </row>
    <row r="668" spans="1:10" ht="13.2" x14ac:dyDescent="0.25">
      <c r="A668" s="17"/>
      <c r="B668" s="17"/>
      <c r="D668" s="18"/>
      <c r="E668" s="18"/>
      <c r="F668" s="18"/>
      <c r="G668" s="18"/>
      <c r="H668" s="49"/>
      <c r="I668" s="21"/>
      <c r="J668" s="22"/>
    </row>
    <row r="669" spans="1:10" ht="13.2" x14ac:dyDescent="0.25">
      <c r="A669" s="17"/>
      <c r="B669" s="17"/>
      <c r="D669" s="18"/>
      <c r="E669" s="18"/>
      <c r="F669" s="18"/>
      <c r="G669" s="18"/>
      <c r="H669" s="49"/>
      <c r="I669" s="21"/>
      <c r="J669" s="22"/>
    </row>
    <row r="670" spans="1:10" ht="13.2" x14ac:dyDescent="0.25">
      <c r="A670" s="17"/>
      <c r="B670" s="17"/>
      <c r="D670" s="18"/>
      <c r="E670" s="18"/>
      <c r="F670" s="18"/>
      <c r="G670" s="18"/>
      <c r="H670" s="49"/>
      <c r="I670" s="21"/>
      <c r="J670" s="22"/>
    </row>
    <row r="671" spans="1:10" ht="13.2" x14ac:dyDescent="0.25">
      <c r="A671" s="17"/>
      <c r="B671" s="17"/>
      <c r="D671" s="18"/>
      <c r="E671" s="18"/>
      <c r="F671" s="18"/>
      <c r="G671" s="18"/>
      <c r="H671" s="49"/>
      <c r="I671" s="21"/>
      <c r="J671" s="22"/>
    </row>
    <row r="672" spans="1:10" ht="13.2" x14ac:dyDescent="0.25">
      <c r="A672" s="17"/>
      <c r="B672" s="17"/>
      <c r="D672" s="18"/>
      <c r="E672" s="18"/>
      <c r="F672" s="18"/>
      <c r="G672" s="18"/>
      <c r="H672" s="49"/>
      <c r="I672" s="21"/>
      <c r="J672" s="22"/>
    </row>
    <row r="673" spans="1:10" ht="13.2" x14ac:dyDescent="0.25">
      <c r="A673" s="17"/>
      <c r="B673" s="17"/>
      <c r="D673" s="18"/>
      <c r="E673" s="18"/>
      <c r="F673" s="18"/>
      <c r="G673" s="18"/>
      <c r="H673" s="49"/>
      <c r="I673" s="21"/>
      <c r="J673" s="22"/>
    </row>
    <row r="674" spans="1:10" ht="13.2" x14ac:dyDescent="0.25">
      <c r="A674" s="17"/>
      <c r="B674" s="17"/>
      <c r="D674" s="18"/>
      <c r="E674" s="18"/>
      <c r="F674" s="18"/>
      <c r="G674" s="18"/>
      <c r="H674" s="49"/>
      <c r="I674" s="21"/>
      <c r="J674" s="22"/>
    </row>
    <row r="675" spans="1:10" ht="13.2" x14ac:dyDescent="0.25">
      <c r="A675" s="17"/>
      <c r="B675" s="17"/>
      <c r="D675" s="18"/>
      <c r="E675" s="18"/>
      <c r="F675" s="18"/>
      <c r="G675" s="18"/>
      <c r="H675" s="49"/>
      <c r="I675" s="21"/>
      <c r="J675" s="22"/>
    </row>
    <row r="676" spans="1:10" ht="13.2" x14ac:dyDescent="0.25">
      <c r="A676" s="17"/>
      <c r="B676" s="17"/>
      <c r="D676" s="18"/>
      <c r="E676" s="18"/>
      <c r="F676" s="18"/>
      <c r="G676" s="18"/>
      <c r="H676" s="49"/>
      <c r="I676" s="21"/>
      <c r="J676" s="22"/>
    </row>
    <row r="677" spans="1:10" ht="13.2" x14ac:dyDescent="0.25">
      <c r="A677" s="17"/>
      <c r="B677" s="17"/>
      <c r="D677" s="18"/>
      <c r="E677" s="18"/>
      <c r="F677" s="18"/>
      <c r="G677" s="18"/>
      <c r="H677" s="49"/>
      <c r="I677" s="21"/>
      <c r="J677" s="22"/>
    </row>
    <row r="678" spans="1:10" ht="13.2" x14ac:dyDescent="0.25">
      <c r="A678" s="17"/>
      <c r="B678" s="17"/>
      <c r="D678" s="18"/>
      <c r="E678" s="18"/>
      <c r="F678" s="18"/>
      <c r="G678" s="18"/>
      <c r="H678" s="49"/>
      <c r="I678" s="21"/>
      <c r="J678" s="22"/>
    </row>
    <row r="679" spans="1:10" ht="13.2" x14ac:dyDescent="0.25">
      <c r="A679" s="17"/>
      <c r="B679" s="17"/>
      <c r="D679" s="18"/>
      <c r="E679" s="18"/>
      <c r="F679" s="18"/>
      <c r="G679" s="18"/>
      <c r="H679" s="49"/>
      <c r="I679" s="21"/>
      <c r="J679" s="22"/>
    </row>
    <row r="680" spans="1:10" ht="13.2" x14ac:dyDescent="0.25">
      <c r="A680" s="17"/>
      <c r="B680" s="17"/>
      <c r="D680" s="18"/>
      <c r="E680" s="18"/>
      <c r="F680" s="18"/>
      <c r="G680" s="18"/>
      <c r="H680" s="49"/>
      <c r="I680" s="21"/>
      <c r="J680" s="22"/>
    </row>
    <row r="681" spans="1:10" ht="13.2" x14ac:dyDescent="0.25">
      <c r="A681" s="17"/>
      <c r="B681" s="17"/>
      <c r="D681" s="18"/>
      <c r="E681" s="18"/>
      <c r="F681" s="18"/>
      <c r="G681" s="18"/>
      <c r="H681" s="49"/>
      <c r="I681" s="21"/>
      <c r="J681" s="22"/>
    </row>
    <row r="682" spans="1:10" ht="13.2" x14ac:dyDescent="0.25">
      <c r="A682" s="17"/>
      <c r="B682" s="17"/>
      <c r="D682" s="18"/>
      <c r="E682" s="18"/>
      <c r="F682" s="18"/>
      <c r="G682" s="18"/>
      <c r="H682" s="49"/>
      <c r="I682" s="21"/>
      <c r="J682" s="22"/>
    </row>
    <row r="683" spans="1:10" ht="13.2" x14ac:dyDescent="0.25">
      <c r="A683" s="17"/>
      <c r="B683" s="17"/>
      <c r="D683" s="18"/>
      <c r="E683" s="18"/>
      <c r="F683" s="18"/>
      <c r="G683" s="18"/>
      <c r="H683" s="49"/>
      <c r="I683" s="21"/>
      <c r="J683" s="22"/>
    </row>
    <row r="684" spans="1:10" ht="13.2" x14ac:dyDescent="0.25">
      <c r="A684" s="17"/>
      <c r="B684" s="17"/>
      <c r="D684" s="18"/>
      <c r="E684" s="18"/>
      <c r="F684" s="18"/>
      <c r="G684" s="18"/>
      <c r="H684" s="49"/>
      <c r="I684" s="21"/>
      <c r="J684" s="22"/>
    </row>
    <row r="685" spans="1:10" ht="13.2" x14ac:dyDescent="0.25">
      <c r="A685" s="17"/>
      <c r="B685" s="17"/>
      <c r="D685" s="18"/>
      <c r="E685" s="18"/>
      <c r="F685" s="18"/>
      <c r="G685" s="18"/>
      <c r="H685" s="49"/>
      <c r="I685" s="21"/>
      <c r="J685" s="22"/>
    </row>
    <row r="686" spans="1:10" ht="13.2" x14ac:dyDescent="0.25">
      <c r="A686" s="17"/>
      <c r="B686" s="17"/>
      <c r="D686" s="18"/>
      <c r="E686" s="18"/>
      <c r="F686" s="18"/>
      <c r="G686" s="18"/>
      <c r="H686" s="49"/>
      <c r="I686" s="21"/>
      <c r="J686" s="22"/>
    </row>
    <row r="687" spans="1:10" ht="13.2" x14ac:dyDescent="0.25">
      <c r="A687" s="17"/>
      <c r="B687" s="17"/>
      <c r="D687" s="18"/>
      <c r="E687" s="18"/>
      <c r="F687" s="18"/>
      <c r="G687" s="18"/>
      <c r="H687" s="49"/>
      <c r="I687" s="21"/>
      <c r="J687" s="22"/>
    </row>
    <row r="688" spans="1:10" ht="13.2" x14ac:dyDescent="0.25">
      <c r="A688" s="17"/>
      <c r="B688" s="17"/>
      <c r="D688" s="18"/>
      <c r="E688" s="18"/>
      <c r="F688" s="18"/>
      <c r="G688" s="18"/>
      <c r="H688" s="49"/>
      <c r="I688" s="21"/>
      <c r="J688" s="22"/>
    </row>
    <row r="689" spans="1:10" ht="13.2" x14ac:dyDescent="0.25">
      <c r="A689" s="17"/>
      <c r="B689" s="17"/>
      <c r="D689" s="18"/>
      <c r="E689" s="18"/>
      <c r="F689" s="18"/>
      <c r="G689" s="18"/>
      <c r="H689" s="49"/>
      <c r="I689" s="21"/>
      <c r="J689" s="22"/>
    </row>
    <row r="690" spans="1:10" ht="13.2" x14ac:dyDescent="0.25">
      <c r="A690" s="17"/>
      <c r="B690" s="17"/>
      <c r="D690" s="18"/>
      <c r="E690" s="18"/>
      <c r="F690" s="18"/>
      <c r="G690" s="18"/>
      <c r="H690" s="49"/>
      <c r="I690" s="21"/>
      <c r="J690" s="22"/>
    </row>
    <row r="691" spans="1:10" ht="13.2" x14ac:dyDescent="0.25">
      <c r="A691" s="17"/>
      <c r="B691" s="17"/>
      <c r="D691" s="18"/>
      <c r="E691" s="18"/>
      <c r="F691" s="18"/>
      <c r="G691" s="18"/>
      <c r="H691" s="49"/>
      <c r="I691" s="21"/>
      <c r="J691" s="22"/>
    </row>
    <row r="692" spans="1:10" ht="13.2" x14ac:dyDescent="0.25">
      <c r="A692" s="17"/>
      <c r="B692" s="17"/>
      <c r="D692" s="18"/>
      <c r="E692" s="18"/>
      <c r="F692" s="18"/>
      <c r="G692" s="18"/>
      <c r="H692" s="49"/>
      <c r="I692" s="21"/>
      <c r="J692" s="22"/>
    </row>
    <row r="693" spans="1:10" ht="13.2" x14ac:dyDescent="0.25">
      <c r="A693" s="17"/>
      <c r="B693" s="17"/>
      <c r="D693" s="18"/>
      <c r="E693" s="18"/>
      <c r="F693" s="18"/>
      <c r="G693" s="18"/>
      <c r="H693" s="49"/>
      <c r="I693" s="21"/>
      <c r="J693" s="22"/>
    </row>
    <row r="694" spans="1:10" ht="13.2" x14ac:dyDescent="0.25">
      <c r="A694" s="17"/>
      <c r="B694" s="17"/>
      <c r="D694" s="18"/>
      <c r="E694" s="18"/>
      <c r="F694" s="18"/>
      <c r="G694" s="18"/>
      <c r="H694" s="49"/>
      <c r="I694" s="21"/>
      <c r="J694" s="22"/>
    </row>
    <row r="695" spans="1:10" ht="13.2" x14ac:dyDescent="0.25">
      <c r="A695" s="17"/>
      <c r="B695" s="17"/>
      <c r="D695" s="18"/>
      <c r="E695" s="18"/>
      <c r="F695" s="18"/>
      <c r="G695" s="18"/>
      <c r="H695" s="49"/>
      <c r="I695" s="21"/>
      <c r="J695" s="22"/>
    </row>
    <row r="696" spans="1:10" ht="13.2" x14ac:dyDescent="0.25">
      <c r="A696" s="17"/>
      <c r="B696" s="17"/>
      <c r="D696" s="18"/>
      <c r="E696" s="18"/>
      <c r="F696" s="18"/>
      <c r="G696" s="18"/>
      <c r="H696" s="49"/>
      <c r="I696" s="21"/>
      <c r="J696" s="22"/>
    </row>
    <row r="697" spans="1:10" ht="13.2" x14ac:dyDescent="0.25">
      <c r="A697" s="17"/>
      <c r="B697" s="17"/>
      <c r="D697" s="18"/>
      <c r="E697" s="18"/>
      <c r="F697" s="18"/>
      <c r="G697" s="18"/>
      <c r="H697" s="49"/>
      <c r="I697" s="21"/>
      <c r="J697" s="22"/>
    </row>
    <row r="698" spans="1:10" ht="13.2" x14ac:dyDescent="0.25">
      <c r="A698" s="17"/>
      <c r="B698" s="17"/>
      <c r="D698" s="18"/>
      <c r="E698" s="18"/>
      <c r="F698" s="18"/>
      <c r="G698" s="18"/>
      <c r="H698" s="49"/>
      <c r="I698" s="21"/>
      <c r="J698" s="22"/>
    </row>
    <row r="699" spans="1:10" ht="13.2" x14ac:dyDescent="0.25">
      <c r="A699" s="17"/>
      <c r="B699" s="17"/>
      <c r="D699" s="18"/>
      <c r="E699" s="18"/>
      <c r="F699" s="18"/>
      <c r="G699" s="18"/>
      <c r="H699" s="49"/>
      <c r="I699" s="21"/>
      <c r="J699" s="22"/>
    </row>
    <row r="700" spans="1:10" ht="13.2" x14ac:dyDescent="0.25">
      <c r="A700" s="17"/>
      <c r="B700" s="17"/>
      <c r="D700" s="18"/>
      <c r="E700" s="18"/>
      <c r="F700" s="18"/>
      <c r="G700" s="18"/>
      <c r="H700" s="49"/>
      <c r="I700" s="21"/>
      <c r="J700" s="22"/>
    </row>
    <row r="701" spans="1:10" ht="13.2" x14ac:dyDescent="0.25">
      <c r="A701" s="17"/>
      <c r="B701" s="17"/>
      <c r="D701" s="18"/>
      <c r="E701" s="18"/>
      <c r="F701" s="18"/>
      <c r="G701" s="18"/>
      <c r="H701" s="49"/>
      <c r="I701" s="21"/>
      <c r="J701" s="22"/>
    </row>
    <row r="702" spans="1:10" ht="13.2" x14ac:dyDescent="0.25">
      <c r="A702" s="17"/>
      <c r="B702" s="17"/>
      <c r="D702" s="18"/>
      <c r="E702" s="18"/>
      <c r="F702" s="18"/>
      <c r="G702" s="18"/>
      <c r="H702" s="49"/>
      <c r="I702" s="21"/>
      <c r="J702" s="22"/>
    </row>
    <row r="703" spans="1:10" ht="13.2" x14ac:dyDescent="0.25">
      <c r="A703" s="17"/>
      <c r="B703" s="17"/>
      <c r="D703" s="18"/>
      <c r="E703" s="18"/>
      <c r="F703" s="18"/>
      <c r="G703" s="18"/>
      <c r="H703" s="49"/>
      <c r="I703" s="21"/>
      <c r="J703" s="22"/>
    </row>
    <row r="704" spans="1:10" ht="13.2" x14ac:dyDescent="0.25">
      <c r="A704" s="17"/>
      <c r="B704" s="17"/>
      <c r="D704" s="18"/>
      <c r="E704" s="18"/>
      <c r="F704" s="18"/>
      <c r="G704" s="18"/>
      <c r="H704" s="49"/>
      <c r="I704" s="21"/>
      <c r="J704" s="22"/>
    </row>
    <row r="705" spans="1:10" ht="13.2" x14ac:dyDescent="0.25">
      <c r="A705" s="17"/>
      <c r="B705" s="17"/>
      <c r="D705" s="18"/>
      <c r="E705" s="18"/>
      <c r="F705" s="18"/>
      <c r="G705" s="18"/>
      <c r="H705" s="49"/>
      <c r="I705" s="21"/>
      <c r="J705" s="22"/>
    </row>
    <row r="706" spans="1:10" ht="13.2" x14ac:dyDescent="0.25">
      <c r="A706" s="17"/>
      <c r="B706" s="17"/>
      <c r="D706" s="18"/>
      <c r="E706" s="18"/>
      <c r="F706" s="18"/>
      <c r="G706" s="18"/>
      <c r="H706" s="49"/>
      <c r="I706" s="21"/>
      <c r="J706" s="22"/>
    </row>
    <row r="707" spans="1:10" ht="13.2" x14ac:dyDescent="0.25">
      <c r="A707" s="17"/>
      <c r="B707" s="17"/>
      <c r="D707" s="18"/>
      <c r="E707" s="18"/>
      <c r="F707" s="18"/>
      <c r="G707" s="18"/>
      <c r="H707" s="49"/>
      <c r="I707" s="21"/>
      <c r="J707" s="22"/>
    </row>
  </sheetData>
  <mergeCells count="6">
    <mergeCell ref="B44:G44"/>
    <mergeCell ref="B4:G4"/>
    <mergeCell ref="B12:G12"/>
    <mergeCell ref="B20:G20"/>
    <mergeCell ref="B28:G28"/>
    <mergeCell ref="B36:G36"/>
  </mergeCells>
  <conditionalFormatting sqref="L13">
    <cfRule type="notContainsBlanks" dxfId="3" priority="1">
      <formula>LEN(TRIM(L13))&gt;0</formula>
    </cfRule>
  </conditionalFormatting>
  <dataValidations count="2">
    <dataValidation type="custom" allowBlank="1" showDropDown="1" showInputMessage="1" showErrorMessage="1" prompt="Ide 2006-2010 (2011) közötti évszámok írható be!" sqref="D5:D9 D13:D17 D21:D25 D29:D33 D37:D41 D45:D49" xr:uid="{00000000-0002-0000-0800-000000000000}">
      <formula1>OR(D5 = "2006", D5="2007",  D5="2008", D5="2009", D5="2010", D5="2011")</formula1>
    </dataValidation>
    <dataValidation type="custom" allowBlank="1" showDropDown="1" showInputMessage="1" showErrorMessage="1" prompt="Csak egy 1,23 formátumú szám, vagy a -, x, X jelek lehetnek ebben a cellában!" sqref="E5:G9 E13:G17 E21:G25 E29:G33 E37:G41 E45:G49" xr:uid="{00000000-0002-0000-0800-000001000000}">
      <formula1>REGEXMATCH(E5,"^\d{1,1},\d{2}$|^x$|^X$|^-$")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Fmagas</vt:lpstr>
      <vt:lpstr>Ftávol</vt:lpstr>
      <vt:lpstr>Fsúly</vt:lpstr>
      <vt:lpstr>Fdiszkosz</vt:lpstr>
      <vt:lpstr>Fgerely</vt:lpstr>
      <vt:lpstr>F4x1500</vt:lpstr>
      <vt:lpstr>Fsvédváltó</vt:lpstr>
      <vt:lpstr>Lmagas</vt:lpstr>
      <vt:lpstr>Ltávol</vt:lpstr>
      <vt:lpstr>Lsúly</vt:lpstr>
      <vt:lpstr>Ldiszkosz</vt:lpstr>
      <vt:lpstr>Lgerely</vt:lpstr>
      <vt:lpstr>L4x800</vt:lpstr>
      <vt:lpstr>Lsvédváltó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Ladmin</dc:creator>
  <cp:lastModifiedBy>Diána Molnár</cp:lastModifiedBy>
  <cp:lastPrinted>2025-09-22T11:25:44Z</cp:lastPrinted>
  <dcterms:modified xsi:type="dcterms:W3CDTF">2025-09-23T07:27:03Z</dcterms:modified>
</cp:coreProperties>
</file>