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otht\Downloads\"/>
    </mc:Choice>
  </mc:AlternateContent>
  <xr:revisionPtr revIDLastSave="0" documentId="8_{7D6DAB7A-04C2-4563-BA8E-72FE4EF26A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magas" sheetId="1" r:id="rId1"/>
    <sheet name="Ftávol" sheetId="2" r:id="rId2"/>
    <sheet name="Fsúly" sheetId="3" r:id="rId3"/>
    <sheet name="Fkislabda" sheetId="4" r:id="rId4"/>
    <sheet name="Lmagas" sheetId="5" r:id="rId5"/>
    <sheet name="Ltávol" sheetId="6" r:id="rId6"/>
    <sheet name="Lsúly" sheetId="7" r:id="rId7"/>
    <sheet name="Lkislabda" sheetId="8" r:id="rId8"/>
    <sheet name="Váltó" sheetId="9" r:id="rId9"/>
    <sheet name="Iskolák" sheetId="11" r:id="rId10"/>
  </sheets>
  <calcPr calcId="191029"/>
</workbook>
</file>

<file path=xl/calcChain.xml><?xml version="1.0" encoding="utf-8"?>
<calcChain xmlns="http://schemas.openxmlformats.org/spreadsheetml/2006/main">
  <c r="K196" i="9" l="1"/>
  <c r="J196" i="9" s="1"/>
  <c r="K188" i="9"/>
  <c r="J188" i="9" s="1"/>
  <c r="K180" i="9"/>
  <c r="J180" i="9" s="1"/>
  <c r="K172" i="9"/>
  <c r="J172" i="9" s="1"/>
  <c r="K164" i="9"/>
  <c r="J164" i="9" s="1"/>
  <c r="K156" i="9"/>
  <c r="J156" i="9" s="1"/>
  <c r="K148" i="9"/>
  <c r="J148" i="9" s="1"/>
  <c r="K140" i="9"/>
  <c r="J140" i="9" s="1"/>
  <c r="K132" i="9"/>
  <c r="J132" i="9" s="1"/>
  <c r="K124" i="9"/>
  <c r="J124" i="9" s="1"/>
  <c r="K116" i="9"/>
  <c r="J116" i="9" s="1"/>
  <c r="K108" i="9"/>
  <c r="J108" i="9" s="1"/>
  <c r="K100" i="9"/>
  <c r="J100" i="9" s="1"/>
  <c r="K92" i="9"/>
  <c r="J92" i="9" s="1"/>
  <c r="K84" i="9"/>
  <c r="J84" i="9" s="1"/>
  <c r="K76" i="9"/>
  <c r="K68" i="9"/>
  <c r="K60" i="9"/>
  <c r="K52" i="9"/>
  <c r="K44" i="9"/>
  <c r="K36" i="9"/>
  <c r="K28" i="9"/>
  <c r="K20" i="9"/>
  <c r="K12" i="9"/>
  <c r="K4" i="9"/>
  <c r="H201" i="8"/>
  <c r="H200" i="8"/>
  <c r="H199" i="8"/>
  <c r="H198" i="8"/>
  <c r="H197" i="8"/>
  <c r="H193" i="8"/>
  <c r="H192" i="8"/>
  <c r="H191" i="8"/>
  <c r="H190" i="8"/>
  <c r="H189" i="8"/>
  <c r="H185" i="8"/>
  <c r="H184" i="8"/>
  <c r="H183" i="8"/>
  <c r="H182" i="8"/>
  <c r="H181" i="8"/>
  <c r="H177" i="8"/>
  <c r="H176" i="8"/>
  <c r="H175" i="8"/>
  <c r="H174" i="8"/>
  <c r="H173" i="8"/>
  <c r="H169" i="8"/>
  <c r="H168" i="8"/>
  <c r="H167" i="8"/>
  <c r="H166" i="8"/>
  <c r="H165" i="8"/>
  <c r="H161" i="8"/>
  <c r="H160" i="8"/>
  <c r="H159" i="8"/>
  <c r="H158" i="8"/>
  <c r="H157" i="8"/>
  <c r="H153" i="8"/>
  <c r="H152" i="8"/>
  <c r="H151" i="8"/>
  <c r="H150" i="8"/>
  <c r="H149" i="8"/>
  <c r="H145" i="8"/>
  <c r="H144" i="8"/>
  <c r="H143" i="8"/>
  <c r="H142" i="8"/>
  <c r="H141" i="8"/>
  <c r="H137" i="8"/>
  <c r="H136" i="8"/>
  <c r="H135" i="8"/>
  <c r="H134" i="8"/>
  <c r="H133" i="8"/>
  <c r="H129" i="8"/>
  <c r="H128" i="8"/>
  <c r="H127" i="8"/>
  <c r="H126" i="8"/>
  <c r="H125" i="8"/>
  <c r="H121" i="8"/>
  <c r="H120" i="8"/>
  <c r="H119" i="8"/>
  <c r="H118" i="8"/>
  <c r="H117" i="8"/>
  <c r="H113" i="8"/>
  <c r="H112" i="8"/>
  <c r="H111" i="8"/>
  <c r="H110" i="8"/>
  <c r="H109" i="8"/>
  <c r="H105" i="8"/>
  <c r="H104" i="8"/>
  <c r="H103" i="8"/>
  <c r="H102" i="8"/>
  <c r="H101" i="8"/>
  <c r="H97" i="8"/>
  <c r="H96" i="8"/>
  <c r="H95" i="8"/>
  <c r="H94" i="8"/>
  <c r="H93" i="8"/>
  <c r="H89" i="8"/>
  <c r="H88" i="8"/>
  <c r="H87" i="8"/>
  <c r="H86" i="8"/>
  <c r="H85" i="8"/>
  <c r="H81" i="8"/>
  <c r="H80" i="8"/>
  <c r="H79" i="8"/>
  <c r="H78" i="8"/>
  <c r="H77" i="8"/>
  <c r="H73" i="8"/>
  <c r="H72" i="8"/>
  <c r="H71" i="8"/>
  <c r="H70" i="8"/>
  <c r="H69" i="8"/>
  <c r="H65" i="8"/>
  <c r="H64" i="8"/>
  <c r="H63" i="8"/>
  <c r="H62" i="8"/>
  <c r="H61" i="8"/>
  <c r="H57" i="8"/>
  <c r="H56" i="8"/>
  <c r="H55" i="8"/>
  <c r="H54" i="8"/>
  <c r="H53" i="8"/>
  <c r="H49" i="8"/>
  <c r="H48" i="8"/>
  <c r="H47" i="8"/>
  <c r="H46" i="8"/>
  <c r="H45" i="8"/>
  <c r="H41" i="8"/>
  <c r="H40" i="8"/>
  <c r="H39" i="8"/>
  <c r="H38" i="8"/>
  <c r="H37" i="8"/>
  <c r="H33" i="8"/>
  <c r="H32" i="8"/>
  <c r="H31" i="8"/>
  <c r="H30" i="8"/>
  <c r="H29" i="8"/>
  <c r="H25" i="8"/>
  <c r="H24" i="8"/>
  <c r="H23" i="8"/>
  <c r="H22" i="8"/>
  <c r="H21" i="8"/>
  <c r="H17" i="8"/>
  <c r="H16" i="8"/>
  <c r="H15" i="8"/>
  <c r="H14" i="8"/>
  <c r="H13" i="8"/>
  <c r="H9" i="8"/>
  <c r="H8" i="8"/>
  <c r="H7" i="8"/>
  <c r="H6" i="8"/>
  <c r="H5" i="8"/>
  <c r="H201" i="7"/>
  <c r="H200" i="7"/>
  <c r="H199" i="7"/>
  <c r="H198" i="7"/>
  <c r="H197" i="7"/>
  <c r="H193" i="7"/>
  <c r="H192" i="7"/>
  <c r="H191" i="7"/>
  <c r="H190" i="7"/>
  <c r="H189" i="7"/>
  <c r="H185" i="7"/>
  <c r="H184" i="7"/>
  <c r="H183" i="7"/>
  <c r="H182" i="7"/>
  <c r="H181" i="7"/>
  <c r="H177" i="7"/>
  <c r="H176" i="7"/>
  <c r="H175" i="7"/>
  <c r="H174" i="7"/>
  <c r="H173" i="7"/>
  <c r="H169" i="7"/>
  <c r="H168" i="7"/>
  <c r="H167" i="7"/>
  <c r="H166" i="7"/>
  <c r="H165" i="7"/>
  <c r="H161" i="7"/>
  <c r="H160" i="7"/>
  <c r="H159" i="7"/>
  <c r="H158" i="7"/>
  <c r="H157" i="7"/>
  <c r="H153" i="7"/>
  <c r="H152" i="7"/>
  <c r="H151" i="7"/>
  <c r="H150" i="7"/>
  <c r="H149" i="7"/>
  <c r="H145" i="7"/>
  <c r="H144" i="7"/>
  <c r="H143" i="7"/>
  <c r="H142" i="7"/>
  <c r="H141" i="7"/>
  <c r="H137" i="7"/>
  <c r="H136" i="7"/>
  <c r="H135" i="7"/>
  <c r="H134" i="7"/>
  <c r="H133" i="7"/>
  <c r="H129" i="7"/>
  <c r="H128" i="7"/>
  <c r="H127" i="7"/>
  <c r="H126" i="7"/>
  <c r="H125" i="7"/>
  <c r="H121" i="7"/>
  <c r="H120" i="7"/>
  <c r="H119" i="7"/>
  <c r="H118" i="7"/>
  <c r="H117" i="7"/>
  <c r="H113" i="7"/>
  <c r="H112" i="7"/>
  <c r="H111" i="7"/>
  <c r="H110" i="7"/>
  <c r="H109" i="7"/>
  <c r="H105" i="7"/>
  <c r="H104" i="7"/>
  <c r="H103" i="7"/>
  <c r="H102" i="7"/>
  <c r="H101" i="7"/>
  <c r="H97" i="7"/>
  <c r="H96" i="7"/>
  <c r="H95" i="7"/>
  <c r="H94" i="7"/>
  <c r="H93" i="7"/>
  <c r="H89" i="7"/>
  <c r="H88" i="7"/>
  <c r="H87" i="7"/>
  <c r="H86" i="7"/>
  <c r="H85" i="7"/>
  <c r="H81" i="7"/>
  <c r="H80" i="7"/>
  <c r="H79" i="7"/>
  <c r="H78" i="7"/>
  <c r="H77" i="7"/>
  <c r="H73" i="7"/>
  <c r="H72" i="7"/>
  <c r="H71" i="7"/>
  <c r="H70" i="7"/>
  <c r="H69" i="7"/>
  <c r="H65" i="7"/>
  <c r="H64" i="7"/>
  <c r="H63" i="7"/>
  <c r="H62" i="7"/>
  <c r="H61" i="7"/>
  <c r="H57" i="7"/>
  <c r="H56" i="7"/>
  <c r="H55" i="7"/>
  <c r="H54" i="7"/>
  <c r="H53" i="7"/>
  <c r="H49" i="7"/>
  <c r="H48" i="7"/>
  <c r="H47" i="7"/>
  <c r="H46" i="7"/>
  <c r="H45" i="7"/>
  <c r="H41" i="7"/>
  <c r="H40" i="7"/>
  <c r="H39" i="7"/>
  <c r="H38" i="7"/>
  <c r="H37" i="7"/>
  <c r="H33" i="7"/>
  <c r="H32" i="7"/>
  <c r="H31" i="7"/>
  <c r="H30" i="7"/>
  <c r="H29" i="7"/>
  <c r="H25" i="7"/>
  <c r="H24" i="7"/>
  <c r="H23" i="7"/>
  <c r="H22" i="7"/>
  <c r="I20" i="7" s="1"/>
  <c r="H21" i="7"/>
  <c r="H17" i="7"/>
  <c r="H16" i="7"/>
  <c r="H15" i="7"/>
  <c r="H14" i="7"/>
  <c r="H13" i="7"/>
  <c r="H9" i="7"/>
  <c r="H8" i="7"/>
  <c r="H7" i="7"/>
  <c r="H6" i="7"/>
  <c r="H5" i="7"/>
  <c r="H201" i="6"/>
  <c r="H200" i="6"/>
  <c r="H199" i="6"/>
  <c r="H198" i="6"/>
  <c r="H197" i="6"/>
  <c r="I196" i="6" s="1"/>
  <c r="J196" i="6" s="1"/>
  <c r="H193" i="6"/>
  <c r="H192" i="6"/>
  <c r="H191" i="6"/>
  <c r="H190" i="6"/>
  <c r="H189" i="6"/>
  <c r="H185" i="6"/>
  <c r="H184" i="6"/>
  <c r="H183" i="6"/>
  <c r="H182" i="6"/>
  <c r="H181" i="6"/>
  <c r="H177" i="6"/>
  <c r="H176" i="6"/>
  <c r="H175" i="6"/>
  <c r="H174" i="6"/>
  <c r="H173" i="6"/>
  <c r="H169" i="6"/>
  <c r="H168" i="6"/>
  <c r="H167" i="6"/>
  <c r="H166" i="6"/>
  <c r="H165" i="6"/>
  <c r="H161" i="6"/>
  <c r="H160" i="6"/>
  <c r="H159" i="6"/>
  <c r="H158" i="6"/>
  <c r="H157" i="6"/>
  <c r="H153" i="6"/>
  <c r="H152" i="6"/>
  <c r="H151" i="6"/>
  <c r="H150" i="6"/>
  <c r="H149" i="6"/>
  <c r="H145" i="6"/>
  <c r="H144" i="6"/>
  <c r="H143" i="6"/>
  <c r="H142" i="6"/>
  <c r="H141" i="6"/>
  <c r="H137" i="6"/>
  <c r="H136" i="6"/>
  <c r="H135" i="6"/>
  <c r="H134" i="6"/>
  <c r="H133" i="6"/>
  <c r="H129" i="6"/>
  <c r="H128" i="6"/>
  <c r="H127" i="6"/>
  <c r="H126" i="6"/>
  <c r="H125" i="6"/>
  <c r="H121" i="6"/>
  <c r="H120" i="6"/>
  <c r="H119" i="6"/>
  <c r="H118" i="6"/>
  <c r="H117" i="6"/>
  <c r="H113" i="6"/>
  <c r="H112" i="6"/>
  <c r="H111" i="6"/>
  <c r="H110" i="6"/>
  <c r="H109" i="6"/>
  <c r="H105" i="6"/>
  <c r="H104" i="6"/>
  <c r="H103" i="6"/>
  <c r="H102" i="6"/>
  <c r="H101" i="6"/>
  <c r="H97" i="6"/>
  <c r="H96" i="6"/>
  <c r="H95" i="6"/>
  <c r="H94" i="6"/>
  <c r="H93" i="6"/>
  <c r="H89" i="6"/>
  <c r="H88" i="6"/>
  <c r="H87" i="6"/>
  <c r="H86" i="6"/>
  <c r="H85" i="6"/>
  <c r="H81" i="6"/>
  <c r="H80" i="6"/>
  <c r="H79" i="6"/>
  <c r="H78" i="6"/>
  <c r="H77" i="6"/>
  <c r="H73" i="6"/>
  <c r="H72" i="6"/>
  <c r="H71" i="6"/>
  <c r="H70" i="6"/>
  <c r="H69" i="6"/>
  <c r="H65" i="6"/>
  <c r="H64" i="6"/>
  <c r="H63" i="6"/>
  <c r="H62" i="6"/>
  <c r="H61" i="6"/>
  <c r="H57" i="6"/>
  <c r="H56" i="6"/>
  <c r="H55" i="6"/>
  <c r="H54" i="6"/>
  <c r="H53" i="6"/>
  <c r="H49" i="6"/>
  <c r="H48" i="6"/>
  <c r="H47" i="6"/>
  <c r="H46" i="6"/>
  <c r="H45" i="6"/>
  <c r="H41" i="6"/>
  <c r="H40" i="6"/>
  <c r="H39" i="6"/>
  <c r="H38" i="6"/>
  <c r="H37" i="6"/>
  <c r="H33" i="6"/>
  <c r="H32" i="6"/>
  <c r="H31" i="6"/>
  <c r="H30" i="6"/>
  <c r="H29" i="6"/>
  <c r="H25" i="6"/>
  <c r="H24" i="6"/>
  <c r="H23" i="6"/>
  <c r="H22" i="6"/>
  <c r="H21" i="6"/>
  <c r="H17" i="6"/>
  <c r="H16" i="6"/>
  <c r="H15" i="6"/>
  <c r="H14" i="6"/>
  <c r="H13" i="6"/>
  <c r="H9" i="6"/>
  <c r="H8" i="6"/>
  <c r="H7" i="6"/>
  <c r="H6" i="6"/>
  <c r="H5" i="6"/>
  <c r="R201" i="5"/>
  <c r="R200" i="5"/>
  <c r="R199" i="5"/>
  <c r="R198" i="5"/>
  <c r="R197" i="5"/>
  <c r="R193" i="5"/>
  <c r="R192" i="5"/>
  <c r="R191" i="5"/>
  <c r="R190" i="5"/>
  <c r="R189" i="5"/>
  <c r="R185" i="5"/>
  <c r="R184" i="5"/>
  <c r="R183" i="5"/>
  <c r="R182" i="5"/>
  <c r="R181" i="5"/>
  <c r="R177" i="5"/>
  <c r="R176" i="5"/>
  <c r="R175" i="5"/>
  <c r="R174" i="5"/>
  <c r="R173" i="5"/>
  <c r="R169" i="5"/>
  <c r="R168" i="5"/>
  <c r="R167" i="5"/>
  <c r="R166" i="5"/>
  <c r="R165" i="5"/>
  <c r="R161" i="5"/>
  <c r="R160" i="5"/>
  <c r="R159" i="5"/>
  <c r="R158" i="5"/>
  <c r="R157" i="5"/>
  <c r="R153" i="5"/>
  <c r="R152" i="5"/>
  <c r="R151" i="5"/>
  <c r="R150" i="5"/>
  <c r="R149" i="5"/>
  <c r="R145" i="5"/>
  <c r="R144" i="5"/>
  <c r="R143" i="5"/>
  <c r="R142" i="5"/>
  <c r="R141" i="5"/>
  <c r="R137" i="5"/>
  <c r="R136" i="5"/>
  <c r="R135" i="5"/>
  <c r="R134" i="5"/>
  <c r="R133" i="5"/>
  <c r="R129" i="5"/>
  <c r="R128" i="5"/>
  <c r="R127" i="5"/>
  <c r="R126" i="5"/>
  <c r="R125" i="5"/>
  <c r="R121" i="5"/>
  <c r="R120" i="5"/>
  <c r="R119" i="5"/>
  <c r="R118" i="5"/>
  <c r="R117" i="5"/>
  <c r="R113" i="5"/>
  <c r="R112" i="5"/>
  <c r="R111" i="5"/>
  <c r="R110" i="5"/>
  <c r="R109" i="5"/>
  <c r="R105" i="5"/>
  <c r="R104" i="5"/>
  <c r="R103" i="5"/>
  <c r="R102" i="5"/>
  <c r="R101" i="5"/>
  <c r="R97" i="5"/>
  <c r="R96" i="5"/>
  <c r="R95" i="5"/>
  <c r="R94" i="5"/>
  <c r="R93" i="5"/>
  <c r="R89" i="5"/>
  <c r="R88" i="5"/>
  <c r="R87" i="5"/>
  <c r="R86" i="5"/>
  <c r="R85" i="5"/>
  <c r="R81" i="5"/>
  <c r="R80" i="5"/>
  <c r="R79" i="5"/>
  <c r="R78" i="5"/>
  <c r="R77" i="5"/>
  <c r="R73" i="5"/>
  <c r="R72" i="5"/>
  <c r="R71" i="5"/>
  <c r="R70" i="5"/>
  <c r="R69" i="5"/>
  <c r="R65" i="5"/>
  <c r="R64" i="5"/>
  <c r="R63" i="5"/>
  <c r="R62" i="5"/>
  <c r="R61" i="5"/>
  <c r="R57" i="5"/>
  <c r="R56" i="5"/>
  <c r="R55" i="5"/>
  <c r="R54" i="5"/>
  <c r="R53" i="5"/>
  <c r="R49" i="5"/>
  <c r="R48" i="5"/>
  <c r="R47" i="5"/>
  <c r="R46" i="5"/>
  <c r="R45" i="5"/>
  <c r="R41" i="5"/>
  <c r="R40" i="5"/>
  <c r="R39" i="5"/>
  <c r="R38" i="5"/>
  <c r="R37" i="5"/>
  <c r="R33" i="5"/>
  <c r="R32" i="5"/>
  <c r="R31" i="5"/>
  <c r="R30" i="5"/>
  <c r="R29" i="5"/>
  <c r="R25" i="5"/>
  <c r="R24" i="5"/>
  <c r="R23" i="5"/>
  <c r="R22" i="5"/>
  <c r="R21" i="5"/>
  <c r="R17" i="5"/>
  <c r="R16" i="5"/>
  <c r="R15" i="5"/>
  <c r="R14" i="5"/>
  <c r="R13" i="5"/>
  <c r="R9" i="5"/>
  <c r="R8" i="5"/>
  <c r="R7" i="5"/>
  <c r="R6" i="5"/>
  <c r="R5" i="5"/>
  <c r="P2" i="5"/>
  <c r="O2" i="5"/>
  <c r="N2" i="5"/>
  <c r="M2" i="5"/>
  <c r="L2" i="5"/>
  <c r="K2" i="5"/>
  <c r="J2" i="5"/>
  <c r="I2" i="5"/>
  <c r="H2" i="5"/>
  <c r="G2" i="5"/>
  <c r="F2" i="5"/>
  <c r="E2" i="5"/>
  <c r="H201" i="4"/>
  <c r="H200" i="4"/>
  <c r="H199" i="4"/>
  <c r="H198" i="4"/>
  <c r="H197" i="4"/>
  <c r="H193" i="4"/>
  <c r="H192" i="4"/>
  <c r="H191" i="4"/>
  <c r="H190" i="4"/>
  <c r="H189" i="4"/>
  <c r="H185" i="4"/>
  <c r="H184" i="4"/>
  <c r="H183" i="4"/>
  <c r="H182" i="4"/>
  <c r="H181" i="4"/>
  <c r="H177" i="4"/>
  <c r="H176" i="4"/>
  <c r="H175" i="4"/>
  <c r="H174" i="4"/>
  <c r="H173" i="4"/>
  <c r="H169" i="4"/>
  <c r="H168" i="4"/>
  <c r="H167" i="4"/>
  <c r="H166" i="4"/>
  <c r="H165" i="4"/>
  <c r="H161" i="4"/>
  <c r="H160" i="4"/>
  <c r="H159" i="4"/>
  <c r="H158" i="4"/>
  <c r="H157" i="4"/>
  <c r="H153" i="4"/>
  <c r="H152" i="4"/>
  <c r="H151" i="4"/>
  <c r="H150" i="4"/>
  <c r="H149" i="4"/>
  <c r="H145" i="4"/>
  <c r="H144" i="4"/>
  <c r="H143" i="4"/>
  <c r="H142" i="4"/>
  <c r="H141" i="4"/>
  <c r="H137" i="4"/>
  <c r="H136" i="4"/>
  <c r="H135" i="4"/>
  <c r="H134" i="4"/>
  <c r="H133" i="4"/>
  <c r="H129" i="4"/>
  <c r="H128" i="4"/>
  <c r="H127" i="4"/>
  <c r="H126" i="4"/>
  <c r="H125" i="4"/>
  <c r="H121" i="4"/>
  <c r="H120" i="4"/>
  <c r="H119" i="4"/>
  <c r="H118" i="4"/>
  <c r="H117" i="4"/>
  <c r="H113" i="4"/>
  <c r="H112" i="4"/>
  <c r="H111" i="4"/>
  <c r="H110" i="4"/>
  <c r="H109" i="4"/>
  <c r="H105" i="4"/>
  <c r="H104" i="4"/>
  <c r="H103" i="4"/>
  <c r="H102" i="4"/>
  <c r="H101" i="4"/>
  <c r="H97" i="4"/>
  <c r="H96" i="4"/>
  <c r="H95" i="4"/>
  <c r="H94" i="4"/>
  <c r="H93" i="4"/>
  <c r="H89" i="4"/>
  <c r="H88" i="4"/>
  <c r="H87" i="4"/>
  <c r="H86" i="4"/>
  <c r="H85" i="4"/>
  <c r="H81" i="4"/>
  <c r="H80" i="4"/>
  <c r="H79" i="4"/>
  <c r="H78" i="4"/>
  <c r="H77" i="4"/>
  <c r="H73" i="4"/>
  <c r="H72" i="4"/>
  <c r="H71" i="4"/>
  <c r="H70" i="4"/>
  <c r="H69" i="4"/>
  <c r="H65" i="4"/>
  <c r="H64" i="4"/>
  <c r="H63" i="4"/>
  <c r="H62" i="4"/>
  <c r="H61" i="4"/>
  <c r="H57" i="4"/>
  <c r="H56" i="4"/>
  <c r="H55" i="4"/>
  <c r="H54" i="4"/>
  <c r="H53" i="4"/>
  <c r="H49" i="4"/>
  <c r="H48" i="4"/>
  <c r="H47" i="4"/>
  <c r="H46" i="4"/>
  <c r="H45" i="4"/>
  <c r="H41" i="4"/>
  <c r="H40" i="4"/>
  <c r="H39" i="4"/>
  <c r="H38" i="4"/>
  <c r="H37" i="4"/>
  <c r="H33" i="4"/>
  <c r="H32" i="4"/>
  <c r="H31" i="4"/>
  <c r="H30" i="4"/>
  <c r="H29" i="4"/>
  <c r="H25" i="4"/>
  <c r="H24" i="4"/>
  <c r="H23" i="4"/>
  <c r="H22" i="4"/>
  <c r="H21" i="4"/>
  <c r="H17" i="4"/>
  <c r="H16" i="4"/>
  <c r="H15" i="4"/>
  <c r="H14" i="4"/>
  <c r="H13" i="4"/>
  <c r="H9" i="4"/>
  <c r="H8" i="4"/>
  <c r="H7" i="4"/>
  <c r="H6" i="4"/>
  <c r="H5" i="4"/>
  <c r="H201" i="3"/>
  <c r="H200" i="3"/>
  <c r="H199" i="3"/>
  <c r="H198" i="3"/>
  <c r="H197" i="3"/>
  <c r="H193" i="3"/>
  <c r="H192" i="3"/>
  <c r="H191" i="3"/>
  <c r="H190" i="3"/>
  <c r="H189" i="3"/>
  <c r="H185" i="3"/>
  <c r="H184" i="3"/>
  <c r="H183" i="3"/>
  <c r="H182" i="3"/>
  <c r="H181" i="3"/>
  <c r="H177" i="3"/>
  <c r="H176" i="3"/>
  <c r="H175" i="3"/>
  <c r="H174" i="3"/>
  <c r="H173" i="3"/>
  <c r="H169" i="3"/>
  <c r="H168" i="3"/>
  <c r="H167" i="3"/>
  <c r="H166" i="3"/>
  <c r="H165" i="3"/>
  <c r="H161" i="3"/>
  <c r="H160" i="3"/>
  <c r="H159" i="3"/>
  <c r="H158" i="3"/>
  <c r="H157" i="3"/>
  <c r="H153" i="3"/>
  <c r="H152" i="3"/>
  <c r="H151" i="3"/>
  <c r="H150" i="3"/>
  <c r="H149" i="3"/>
  <c r="H145" i="3"/>
  <c r="H144" i="3"/>
  <c r="H143" i="3"/>
  <c r="H142" i="3"/>
  <c r="H141" i="3"/>
  <c r="H137" i="3"/>
  <c r="H136" i="3"/>
  <c r="H135" i="3"/>
  <c r="H134" i="3"/>
  <c r="H133" i="3"/>
  <c r="H129" i="3"/>
  <c r="H128" i="3"/>
  <c r="H127" i="3"/>
  <c r="H126" i="3"/>
  <c r="H125" i="3"/>
  <c r="H121" i="3"/>
  <c r="H120" i="3"/>
  <c r="H119" i="3"/>
  <c r="H118" i="3"/>
  <c r="H117" i="3"/>
  <c r="H113" i="3"/>
  <c r="H112" i="3"/>
  <c r="H111" i="3"/>
  <c r="H110" i="3"/>
  <c r="H109" i="3"/>
  <c r="H105" i="3"/>
  <c r="H104" i="3"/>
  <c r="H103" i="3"/>
  <c r="H102" i="3"/>
  <c r="H101" i="3"/>
  <c r="H97" i="3"/>
  <c r="H96" i="3"/>
  <c r="H95" i="3"/>
  <c r="H94" i="3"/>
  <c r="H93" i="3"/>
  <c r="H89" i="3"/>
  <c r="H88" i="3"/>
  <c r="H87" i="3"/>
  <c r="H86" i="3"/>
  <c r="H85" i="3"/>
  <c r="H81" i="3"/>
  <c r="H80" i="3"/>
  <c r="H79" i="3"/>
  <c r="H78" i="3"/>
  <c r="H77" i="3"/>
  <c r="H73" i="3"/>
  <c r="H72" i="3"/>
  <c r="H71" i="3"/>
  <c r="H70" i="3"/>
  <c r="H69" i="3"/>
  <c r="H65" i="3"/>
  <c r="H64" i="3"/>
  <c r="H63" i="3"/>
  <c r="H62" i="3"/>
  <c r="H61" i="3"/>
  <c r="H57" i="3"/>
  <c r="H56" i="3"/>
  <c r="H55" i="3"/>
  <c r="H54" i="3"/>
  <c r="H53" i="3"/>
  <c r="H49" i="3"/>
  <c r="H48" i="3"/>
  <c r="H47" i="3"/>
  <c r="H46" i="3"/>
  <c r="H45" i="3"/>
  <c r="H41" i="3"/>
  <c r="H40" i="3"/>
  <c r="H39" i="3"/>
  <c r="H38" i="3"/>
  <c r="H37" i="3"/>
  <c r="H33" i="3"/>
  <c r="H32" i="3"/>
  <c r="H31" i="3"/>
  <c r="H30" i="3"/>
  <c r="H29" i="3"/>
  <c r="H25" i="3"/>
  <c r="H24" i="3"/>
  <c r="H23" i="3"/>
  <c r="H22" i="3"/>
  <c r="H21" i="3"/>
  <c r="H17" i="3"/>
  <c r="H16" i="3"/>
  <c r="H15" i="3"/>
  <c r="H14" i="3"/>
  <c r="H13" i="3"/>
  <c r="H9" i="3"/>
  <c r="H8" i="3"/>
  <c r="H7" i="3"/>
  <c r="H6" i="3"/>
  <c r="H5" i="3"/>
  <c r="H201" i="2"/>
  <c r="H200" i="2"/>
  <c r="H199" i="2"/>
  <c r="H198" i="2"/>
  <c r="H197" i="2"/>
  <c r="H193" i="2"/>
  <c r="H192" i="2"/>
  <c r="H191" i="2"/>
  <c r="H190" i="2"/>
  <c r="H189" i="2"/>
  <c r="H185" i="2"/>
  <c r="H184" i="2"/>
  <c r="H183" i="2"/>
  <c r="H182" i="2"/>
  <c r="H181" i="2"/>
  <c r="H177" i="2"/>
  <c r="H176" i="2"/>
  <c r="H175" i="2"/>
  <c r="H174" i="2"/>
  <c r="H173" i="2"/>
  <c r="H169" i="2"/>
  <c r="H168" i="2"/>
  <c r="H167" i="2"/>
  <c r="H166" i="2"/>
  <c r="H165" i="2"/>
  <c r="H161" i="2"/>
  <c r="H160" i="2"/>
  <c r="H159" i="2"/>
  <c r="H158" i="2"/>
  <c r="H157" i="2"/>
  <c r="H153" i="2"/>
  <c r="H152" i="2"/>
  <c r="H151" i="2"/>
  <c r="H150" i="2"/>
  <c r="H149" i="2"/>
  <c r="H145" i="2"/>
  <c r="H144" i="2"/>
  <c r="H143" i="2"/>
  <c r="H142" i="2"/>
  <c r="H141" i="2"/>
  <c r="H137" i="2"/>
  <c r="H136" i="2"/>
  <c r="H135" i="2"/>
  <c r="H134" i="2"/>
  <c r="H133" i="2"/>
  <c r="H129" i="2"/>
  <c r="H128" i="2"/>
  <c r="H127" i="2"/>
  <c r="H126" i="2"/>
  <c r="H125" i="2"/>
  <c r="H121" i="2"/>
  <c r="H120" i="2"/>
  <c r="H119" i="2"/>
  <c r="H118" i="2"/>
  <c r="H117" i="2"/>
  <c r="H113" i="2"/>
  <c r="H112" i="2"/>
  <c r="H111" i="2"/>
  <c r="H110" i="2"/>
  <c r="H109" i="2"/>
  <c r="H105" i="2"/>
  <c r="H104" i="2"/>
  <c r="H103" i="2"/>
  <c r="H102" i="2"/>
  <c r="H101" i="2"/>
  <c r="H97" i="2"/>
  <c r="H96" i="2"/>
  <c r="H95" i="2"/>
  <c r="H94" i="2"/>
  <c r="H93" i="2"/>
  <c r="H89" i="2"/>
  <c r="H88" i="2"/>
  <c r="H87" i="2"/>
  <c r="H86" i="2"/>
  <c r="H85" i="2"/>
  <c r="H81" i="2"/>
  <c r="H80" i="2"/>
  <c r="H79" i="2"/>
  <c r="H78" i="2"/>
  <c r="H77" i="2"/>
  <c r="H73" i="2"/>
  <c r="H72" i="2"/>
  <c r="H71" i="2"/>
  <c r="H70" i="2"/>
  <c r="H69" i="2"/>
  <c r="H65" i="2"/>
  <c r="H64" i="2"/>
  <c r="H63" i="2"/>
  <c r="H62" i="2"/>
  <c r="H61" i="2"/>
  <c r="H57" i="2"/>
  <c r="H56" i="2"/>
  <c r="H55" i="2"/>
  <c r="H54" i="2"/>
  <c r="H53" i="2"/>
  <c r="H49" i="2"/>
  <c r="H48" i="2"/>
  <c r="H47" i="2"/>
  <c r="H46" i="2"/>
  <c r="H45" i="2"/>
  <c r="H41" i="2"/>
  <c r="H40" i="2"/>
  <c r="H39" i="2"/>
  <c r="H38" i="2"/>
  <c r="H37" i="2"/>
  <c r="H33" i="2"/>
  <c r="H32" i="2"/>
  <c r="H31" i="2"/>
  <c r="H30" i="2"/>
  <c r="H29" i="2"/>
  <c r="H25" i="2"/>
  <c r="H24" i="2"/>
  <c r="H23" i="2"/>
  <c r="H22" i="2"/>
  <c r="H21" i="2"/>
  <c r="H17" i="2"/>
  <c r="H16" i="2"/>
  <c r="H15" i="2"/>
  <c r="H14" i="2"/>
  <c r="H13" i="2"/>
  <c r="H9" i="2"/>
  <c r="H8" i="2"/>
  <c r="H7" i="2"/>
  <c r="H6" i="2"/>
  <c r="H5" i="2"/>
  <c r="R201" i="1"/>
  <c r="R200" i="1"/>
  <c r="R199" i="1"/>
  <c r="R198" i="1"/>
  <c r="R197" i="1"/>
  <c r="R193" i="1"/>
  <c r="R192" i="1"/>
  <c r="R191" i="1"/>
  <c r="R190" i="1"/>
  <c r="R189" i="1"/>
  <c r="R185" i="1"/>
  <c r="R184" i="1"/>
  <c r="R183" i="1"/>
  <c r="R182" i="1"/>
  <c r="R181" i="1"/>
  <c r="R177" i="1"/>
  <c r="R176" i="1"/>
  <c r="R175" i="1"/>
  <c r="R174" i="1"/>
  <c r="R173" i="1"/>
  <c r="R169" i="1"/>
  <c r="R168" i="1"/>
  <c r="R167" i="1"/>
  <c r="R166" i="1"/>
  <c r="R165" i="1"/>
  <c r="R161" i="1"/>
  <c r="R160" i="1"/>
  <c r="R159" i="1"/>
  <c r="R158" i="1"/>
  <c r="R157" i="1"/>
  <c r="R153" i="1"/>
  <c r="R152" i="1"/>
  <c r="R151" i="1"/>
  <c r="R150" i="1"/>
  <c r="R149" i="1"/>
  <c r="R145" i="1"/>
  <c r="R144" i="1"/>
  <c r="R143" i="1"/>
  <c r="R142" i="1"/>
  <c r="R141" i="1"/>
  <c r="R137" i="1"/>
  <c r="R136" i="1"/>
  <c r="R135" i="1"/>
  <c r="R134" i="1"/>
  <c r="R133" i="1"/>
  <c r="R129" i="1"/>
  <c r="R128" i="1"/>
  <c r="R127" i="1"/>
  <c r="R126" i="1"/>
  <c r="R125" i="1"/>
  <c r="R121" i="1"/>
  <c r="R120" i="1"/>
  <c r="R119" i="1"/>
  <c r="R118" i="1"/>
  <c r="R117" i="1"/>
  <c r="R113" i="1"/>
  <c r="R112" i="1"/>
  <c r="R111" i="1"/>
  <c r="R110" i="1"/>
  <c r="R109" i="1"/>
  <c r="R105" i="1"/>
  <c r="R104" i="1"/>
  <c r="R103" i="1"/>
  <c r="R102" i="1"/>
  <c r="R101" i="1"/>
  <c r="R97" i="1"/>
  <c r="R96" i="1"/>
  <c r="R95" i="1"/>
  <c r="R94" i="1"/>
  <c r="R93" i="1"/>
  <c r="R89" i="1"/>
  <c r="R88" i="1"/>
  <c r="R87" i="1"/>
  <c r="R86" i="1"/>
  <c r="R85" i="1"/>
  <c r="R81" i="1"/>
  <c r="R80" i="1"/>
  <c r="R79" i="1"/>
  <c r="R78" i="1"/>
  <c r="R77" i="1"/>
  <c r="R73" i="1"/>
  <c r="R72" i="1"/>
  <c r="R71" i="1"/>
  <c r="R70" i="1"/>
  <c r="R69" i="1"/>
  <c r="R65" i="1"/>
  <c r="R64" i="1"/>
  <c r="R63" i="1"/>
  <c r="R62" i="1"/>
  <c r="R61" i="1"/>
  <c r="R57" i="1"/>
  <c r="R56" i="1"/>
  <c r="R55" i="1"/>
  <c r="R54" i="1"/>
  <c r="R53" i="1"/>
  <c r="R49" i="1"/>
  <c r="R48" i="1"/>
  <c r="R47" i="1"/>
  <c r="R46" i="1"/>
  <c r="R45" i="1"/>
  <c r="R41" i="1"/>
  <c r="R40" i="1"/>
  <c r="R39" i="1"/>
  <c r="R38" i="1"/>
  <c r="R37" i="1"/>
  <c r="R33" i="1"/>
  <c r="R32" i="1"/>
  <c r="R31" i="1"/>
  <c r="R30" i="1"/>
  <c r="R29" i="1"/>
  <c r="R25" i="1"/>
  <c r="R24" i="1"/>
  <c r="R23" i="1"/>
  <c r="R22" i="1"/>
  <c r="R21" i="1"/>
  <c r="R17" i="1"/>
  <c r="R16" i="1"/>
  <c r="R15" i="1"/>
  <c r="R14" i="1"/>
  <c r="R13" i="1"/>
  <c r="R9" i="1"/>
  <c r="R8" i="1"/>
  <c r="R7" i="1"/>
  <c r="R6" i="1"/>
  <c r="R5" i="1"/>
  <c r="P2" i="1"/>
  <c r="O2" i="1"/>
  <c r="N2" i="1"/>
  <c r="M2" i="1"/>
  <c r="L2" i="1"/>
  <c r="K2" i="1"/>
  <c r="J2" i="1"/>
  <c r="I2" i="1"/>
  <c r="H2" i="1"/>
  <c r="G2" i="1"/>
  <c r="F2" i="1"/>
  <c r="E2" i="1"/>
  <c r="I172" i="2" l="1"/>
  <c r="J172" i="2" s="1"/>
  <c r="I28" i="4"/>
  <c r="S116" i="5"/>
  <c r="T116" i="5" s="1"/>
  <c r="S92" i="5"/>
  <c r="T92" i="5" s="1"/>
  <c r="I196" i="8"/>
  <c r="J196" i="8" s="1"/>
  <c r="S116" i="1"/>
  <c r="T116" i="1" s="1"/>
  <c r="S44" i="1"/>
  <c r="I100" i="2"/>
  <c r="J100" i="2" s="1"/>
  <c r="I100" i="6"/>
  <c r="J100" i="6" s="1"/>
  <c r="I156" i="3"/>
  <c r="J156" i="3" s="1"/>
  <c r="I92" i="3"/>
  <c r="J92" i="3" s="1"/>
  <c r="I132" i="3"/>
  <c r="J132" i="3" s="1"/>
  <c r="S188" i="1"/>
  <c r="T188" i="1" s="1"/>
  <c r="S44" i="5"/>
  <c r="I84" i="8"/>
  <c r="J84" i="8" s="1"/>
  <c r="I188" i="8"/>
  <c r="J188" i="8" s="1"/>
  <c r="I28" i="2"/>
  <c r="S92" i="1"/>
  <c r="T92" i="1" s="1"/>
  <c r="S68" i="1"/>
  <c r="T68" i="1" s="1"/>
  <c r="I44" i="2"/>
  <c r="I100" i="4"/>
  <c r="S108" i="5"/>
  <c r="T108" i="5" s="1"/>
  <c r="I36" i="6"/>
  <c r="J20" i="9"/>
  <c r="S132" i="1"/>
  <c r="T132" i="1" s="1"/>
  <c r="I148" i="2"/>
  <c r="J148" i="2" s="1"/>
  <c r="I76" i="6"/>
  <c r="I164" i="6"/>
  <c r="J164" i="6" s="1"/>
  <c r="I156" i="7"/>
  <c r="J156" i="7" s="1"/>
  <c r="I20" i="8"/>
  <c r="I44" i="8"/>
  <c r="S20" i="1"/>
  <c r="I108" i="2"/>
  <c r="J108" i="2" s="1"/>
  <c r="I140" i="4"/>
  <c r="J140" i="4" s="1"/>
  <c r="S84" i="1"/>
  <c r="T84" i="1" s="1"/>
  <c r="I124" i="2"/>
  <c r="J124" i="2" s="1"/>
  <c r="I36" i="3"/>
  <c r="I100" i="3"/>
  <c r="J100" i="3" s="1"/>
  <c r="S172" i="5"/>
  <c r="T172" i="5" s="1"/>
  <c r="S188" i="5"/>
  <c r="T188" i="5" s="1"/>
  <c r="I28" i="7"/>
  <c r="I92" i="7"/>
  <c r="J92" i="7" s="1"/>
  <c r="I100" i="7"/>
  <c r="J100" i="7" s="1"/>
  <c r="I164" i="7"/>
  <c r="J164" i="7" s="1"/>
  <c r="I196" i="7"/>
  <c r="J196" i="7" s="1"/>
  <c r="I60" i="8"/>
  <c r="I148" i="8"/>
  <c r="J148" i="8" s="1"/>
  <c r="S108" i="1"/>
  <c r="T108" i="1" s="1"/>
  <c r="S36" i="1"/>
  <c r="S172" i="1"/>
  <c r="T172" i="1" s="1"/>
  <c r="I36" i="2"/>
  <c r="I76" i="2"/>
  <c r="I164" i="3"/>
  <c r="J164" i="3" s="1"/>
  <c r="I4" i="4"/>
  <c r="I108" i="7"/>
  <c r="J108" i="7" s="1"/>
  <c r="I172" i="7"/>
  <c r="J172" i="7" s="1"/>
  <c r="I180" i="3"/>
  <c r="J180" i="3" s="1"/>
  <c r="I92" i="4"/>
  <c r="I156" i="4"/>
  <c r="J156" i="4" s="1"/>
  <c r="S52" i="5"/>
  <c r="T52" i="5" s="1"/>
  <c r="S164" i="5"/>
  <c r="T164" i="5" s="1"/>
  <c r="I28" i="3"/>
  <c r="I60" i="7"/>
  <c r="J60" i="7" s="1"/>
  <c r="I164" i="2"/>
  <c r="J164" i="2" s="1"/>
  <c r="I20" i="4"/>
  <c r="S68" i="5"/>
  <c r="T68" i="5" s="1"/>
  <c r="S180" i="5"/>
  <c r="T180" i="5" s="1"/>
  <c r="I44" i="6"/>
  <c r="I108" i="6"/>
  <c r="J108" i="6" s="1"/>
  <c r="I44" i="3"/>
  <c r="S52" i="1"/>
  <c r="T52" i="1" s="1"/>
  <c r="S180" i="1"/>
  <c r="T180" i="1" s="1"/>
  <c r="I4" i="2"/>
  <c r="I84" i="3"/>
  <c r="J84" i="3" s="1"/>
  <c r="I84" i="4"/>
  <c r="I148" i="4"/>
  <c r="J148" i="4" s="1"/>
  <c r="I188" i="4"/>
  <c r="J188" i="4" s="1"/>
  <c r="S20" i="5"/>
  <c r="I148" i="6"/>
  <c r="J148" i="6" s="1"/>
  <c r="I196" i="2"/>
  <c r="J196" i="2" s="1"/>
  <c r="I180" i="8"/>
  <c r="J180" i="8" s="1"/>
  <c r="S156" i="1"/>
  <c r="T156" i="1" s="1"/>
  <c r="I52" i="2"/>
  <c r="I12" i="3"/>
  <c r="I108" i="3"/>
  <c r="J108" i="3" s="1"/>
  <c r="I68" i="4"/>
  <c r="I164" i="4"/>
  <c r="J164" i="4" s="1"/>
  <c r="S156" i="5"/>
  <c r="T156" i="5" s="1"/>
  <c r="I4" i="6"/>
  <c r="I28" i="6"/>
  <c r="I52" i="6"/>
  <c r="I12" i="7"/>
  <c r="I124" i="7"/>
  <c r="J124" i="7" s="1"/>
  <c r="I148" i="7"/>
  <c r="J148" i="7" s="1"/>
  <c r="I36" i="8"/>
  <c r="I124" i="8"/>
  <c r="J124" i="8" s="1"/>
  <c r="J36" i="9"/>
  <c r="I92" i="2"/>
  <c r="I140" i="2"/>
  <c r="J140" i="2" s="1"/>
  <c r="I188" i="2"/>
  <c r="J188" i="2" s="1"/>
  <c r="I60" i="3"/>
  <c r="I148" i="3"/>
  <c r="J148" i="3" s="1"/>
  <c r="I196" i="3"/>
  <c r="J196" i="3" s="1"/>
  <c r="I44" i="4"/>
  <c r="J84" i="4" s="1"/>
  <c r="I116" i="4"/>
  <c r="J116" i="4" s="1"/>
  <c r="S84" i="5"/>
  <c r="T84" i="5" s="1"/>
  <c r="S132" i="5"/>
  <c r="T132" i="5" s="1"/>
  <c r="I124" i="6"/>
  <c r="J124" i="6" s="1"/>
  <c r="I76" i="7"/>
  <c r="J76" i="7" s="1"/>
  <c r="I188" i="7"/>
  <c r="J188" i="7" s="1"/>
  <c r="I12" i="8"/>
  <c r="I100" i="8"/>
  <c r="J100" i="8" s="1"/>
  <c r="I172" i="8"/>
  <c r="J172" i="8" s="1"/>
  <c r="J44" i="9"/>
  <c r="I52" i="4"/>
  <c r="I92" i="8"/>
  <c r="J92" i="8" s="1"/>
  <c r="S60" i="1"/>
  <c r="T60" i="1" s="1"/>
  <c r="I20" i="2"/>
  <c r="I116" i="2"/>
  <c r="J116" i="2" s="1"/>
  <c r="I76" i="3"/>
  <c r="J76" i="3" s="1"/>
  <c r="I172" i="3"/>
  <c r="J172" i="3" s="1"/>
  <c r="I132" i="4"/>
  <c r="J132" i="4" s="1"/>
  <c r="S36" i="5"/>
  <c r="S60" i="5"/>
  <c r="T60" i="5" s="1"/>
  <c r="I20" i="6"/>
  <c r="I68" i="6"/>
  <c r="I92" i="6"/>
  <c r="J92" i="6" s="1"/>
  <c r="I140" i="6"/>
  <c r="J140" i="6" s="1"/>
  <c r="I188" i="6"/>
  <c r="J188" i="6" s="1"/>
  <c r="I140" i="7"/>
  <c r="J140" i="7" s="1"/>
  <c r="I52" i="8"/>
  <c r="I76" i="8"/>
  <c r="I140" i="8"/>
  <c r="J140" i="8" s="1"/>
  <c r="J52" i="9"/>
  <c r="I84" i="7"/>
  <c r="J84" i="7" s="1"/>
  <c r="I28" i="8"/>
  <c r="S12" i="1"/>
  <c r="S100" i="1"/>
  <c r="T100" i="1" s="1"/>
  <c r="S148" i="1"/>
  <c r="T148" i="1" s="1"/>
  <c r="S196" i="1"/>
  <c r="T196" i="1" s="1"/>
  <c r="I68" i="2"/>
  <c r="I156" i="2"/>
  <c r="J156" i="2" s="1"/>
  <c r="I4" i="3"/>
  <c r="I52" i="3"/>
  <c r="I124" i="3"/>
  <c r="J124" i="3" s="1"/>
  <c r="I12" i="4"/>
  <c r="I60" i="4"/>
  <c r="I108" i="4"/>
  <c r="I180" i="4"/>
  <c r="J180" i="4" s="1"/>
  <c r="S12" i="5"/>
  <c r="S148" i="5"/>
  <c r="T148" i="5" s="1"/>
  <c r="S196" i="5"/>
  <c r="T196" i="5" s="1"/>
  <c r="I116" i="6"/>
  <c r="J116" i="6" s="1"/>
  <c r="I172" i="6"/>
  <c r="J172" i="6" s="1"/>
  <c r="I4" i="7"/>
  <c r="I52" i="7"/>
  <c r="J52" i="7" s="1"/>
  <c r="I4" i="8"/>
  <c r="I116" i="8"/>
  <c r="J116" i="8" s="1"/>
  <c r="I164" i="8"/>
  <c r="J164" i="8" s="1"/>
  <c r="J60" i="9"/>
  <c r="J28" i="9"/>
  <c r="S28" i="1"/>
  <c r="I84" i="2"/>
  <c r="I180" i="2"/>
  <c r="J180" i="2" s="1"/>
  <c r="I140" i="3"/>
  <c r="J140" i="3" s="1"/>
  <c r="I36" i="4"/>
  <c r="I196" i="4"/>
  <c r="J196" i="4" s="1"/>
  <c r="S28" i="5"/>
  <c r="T44" i="5" s="1"/>
  <c r="S100" i="5"/>
  <c r="T100" i="5" s="1"/>
  <c r="S124" i="5"/>
  <c r="T124" i="5" s="1"/>
  <c r="I84" i="6"/>
  <c r="J84" i="6" s="1"/>
  <c r="I180" i="6"/>
  <c r="J180" i="6" s="1"/>
  <c r="I36" i="7"/>
  <c r="I68" i="7"/>
  <c r="J68" i="7" s="1"/>
  <c r="I116" i="7"/>
  <c r="J116" i="7" s="1"/>
  <c r="I68" i="8"/>
  <c r="J4" i="9"/>
  <c r="J68" i="9"/>
  <c r="S140" i="1"/>
  <c r="T140" i="1" s="1"/>
  <c r="S140" i="5"/>
  <c r="T140" i="5" s="1"/>
  <c r="I108" i="8"/>
  <c r="J108" i="8" s="1"/>
  <c r="S124" i="1"/>
  <c r="T124" i="1" s="1"/>
  <c r="S4" i="1"/>
  <c r="S76" i="1"/>
  <c r="T76" i="1" s="1"/>
  <c r="S164" i="1"/>
  <c r="T164" i="1" s="1"/>
  <c r="I12" i="2"/>
  <c r="J92" i="2" s="1"/>
  <c r="I60" i="2"/>
  <c r="I132" i="2"/>
  <c r="J132" i="2" s="1"/>
  <c r="I20" i="3"/>
  <c r="I68" i="3"/>
  <c r="I116" i="3"/>
  <c r="J116" i="3" s="1"/>
  <c r="I188" i="3"/>
  <c r="J188" i="3" s="1"/>
  <c r="I76" i="4"/>
  <c r="J20" i="4" s="1"/>
  <c r="I124" i="4"/>
  <c r="J124" i="4" s="1"/>
  <c r="I172" i="4"/>
  <c r="J172" i="4" s="1"/>
  <c r="S4" i="5"/>
  <c r="S76" i="5"/>
  <c r="T76" i="5" s="1"/>
  <c r="I12" i="6"/>
  <c r="I60" i="6"/>
  <c r="J60" i="6" s="1"/>
  <c r="I132" i="6"/>
  <c r="J132" i="6" s="1"/>
  <c r="I156" i="6"/>
  <c r="J156" i="6" s="1"/>
  <c r="I44" i="7"/>
  <c r="J4" i="7" s="1"/>
  <c r="I132" i="7"/>
  <c r="J132" i="7" s="1"/>
  <c r="I180" i="7"/>
  <c r="J180" i="7" s="1"/>
  <c r="I132" i="8"/>
  <c r="J132" i="8" s="1"/>
  <c r="I156" i="8"/>
  <c r="J156" i="8" s="1"/>
  <c r="J12" i="9"/>
  <c r="J76" i="9"/>
  <c r="J36" i="6"/>
  <c r="J20" i="7"/>
  <c r="J44" i="7"/>
  <c r="T36" i="5" l="1"/>
  <c r="J68" i="8"/>
  <c r="J68" i="2"/>
  <c r="J68" i="4"/>
  <c r="J4" i="2"/>
  <c r="T28" i="5"/>
  <c r="J52" i="3"/>
  <c r="J12" i="8"/>
  <c r="J36" i="8"/>
  <c r="J4" i="6"/>
  <c r="J44" i="4"/>
  <c r="T4" i="1"/>
  <c r="J68" i="6"/>
  <c r="J36" i="2"/>
  <c r="J44" i="8"/>
  <c r="J20" i="6"/>
  <c r="J60" i="3"/>
  <c r="J4" i="8"/>
  <c r="J92" i="4"/>
  <c r="J68" i="3"/>
  <c r="J12" i="2"/>
  <c r="J4" i="3"/>
  <c r="J20" i="3"/>
  <c r="J60" i="8"/>
  <c r="J60" i="2"/>
  <c r="J76" i="6"/>
  <c r="T4" i="5"/>
  <c r="T20" i="5"/>
  <c r="T36" i="1"/>
  <c r="J100" i="4"/>
  <c r="J76" i="8"/>
  <c r="J28" i="4"/>
  <c r="J76" i="4"/>
  <c r="J20" i="2"/>
  <c r="J12" i="6"/>
  <c r="T12" i="1"/>
  <c r="T12" i="5"/>
  <c r="J36" i="3"/>
  <c r="J108" i="4"/>
  <c r="J12" i="7"/>
  <c r="J52" i="4"/>
  <c r="J4" i="4"/>
  <c r="J36" i="7"/>
  <c r="J52" i="6"/>
  <c r="J76" i="2"/>
  <c r="J44" i="3"/>
  <c r="J28" i="2"/>
  <c r="T20" i="1"/>
  <c r="T44" i="1"/>
  <c r="J84" i="2"/>
  <c r="J52" i="8"/>
  <c r="J28" i="3"/>
  <c r="J44" i="2"/>
  <c r="J36" i="4"/>
  <c r="J28" i="7"/>
  <c r="J12" i="3"/>
  <c r="J60" i="4"/>
  <c r="J52" i="2"/>
  <c r="J12" i="4"/>
  <c r="J44" i="6"/>
  <c r="J28" i="6"/>
  <c r="J20" i="8"/>
  <c r="T28" i="1"/>
  <c r="J28" i="8"/>
</calcChain>
</file>

<file path=xl/sharedStrings.xml><?xml version="1.0" encoding="utf-8"?>
<sst xmlns="http://schemas.openxmlformats.org/spreadsheetml/2006/main" count="3280" uniqueCount="1395">
  <si>
    <t>Magasugrás fiú - III-IV. kcs.</t>
  </si>
  <si>
    <t>Sorsz</t>
  </si>
  <si>
    <t>Csapat/versenyzők</t>
  </si>
  <si>
    <t>Szül.év</t>
  </si>
  <si>
    <t>Eredm</t>
  </si>
  <si>
    <t>Érték</t>
  </si>
  <si>
    <t>Átlag</t>
  </si>
  <si>
    <t>Helyezés</t>
  </si>
  <si>
    <t>Békés, Dr. Hepp Ferenc ÁI.</t>
  </si>
  <si>
    <t>Balog Joel</t>
  </si>
  <si>
    <t>2011</t>
  </si>
  <si>
    <t>1,55</t>
  </si>
  <si>
    <t>Erdei Ferenc</t>
  </si>
  <si>
    <t>1,50</t>
  </si>
  <si>
    <t>Juhász Zoltán</t>
  </si>
  <si>
    <t>2012</t>
  </si>
  <si>
    <t>1,40</t>
  </si>
  <si>
    <t>Niedermayer Nándor</t>
  </si>
  <si>
    <t>Testnevelő:</t>
  </si>
  <si>
    <t>Veres Zsolt</t>
  </si>
  <si>
    <t>Gyula, Gyulai Implom József ÁI.</t>
  </si>
  <si>
    <t>Beliczai Gergő</t>
  </si>
  <si>
    <t>Bányai Mihály</t>
  </si>
  <si>
    <t>1,60</t>
  </si>
  <si>
    <t>Gróh Zsombor</t>
  </si>
  <si>
    <t>Kiss Kristóf</t>
  </si>
  <si>
    <t>1,35</t>
  </si>
  <si>
    <t>Mészáros Ábel</t>
  </si>
  <si>
    <t>Zvolenszki Edit</t>
  </si>
  <si>
    <t>Békéscsaba, Békéscsabai Kazinczy Ferenc ÁI.</t>
  </si>
  <si>
    <t>Bálint Berke</t>
  </si>
  <si>
    <t>Lestyán Vilmos</t>
  </si>
  <si>
    <t>Nadra Krisztofer</t>
  </si>
  <si>
    <t>Bozó Zétény</t>
  </si>
  <si>
    <t>1,30</t>
  </si>
  <si>
    <t>Szűcs Kristóf</t>
  </si>
  <si>
    <t>Erdős Péter</t>
  </si>
  <si>
    <t>Gyula, Gyulai Implom József ÁI. "B"</t>
  </si>
  <si>
    <t>Boldog Tamás</t>
  </si>
  <si>
    <t>Dan Gergő</t>
  </si>
  <si>
    <t>Fáskerti Máté</t>
  </si>
  <si>
    <t>2013</t>
  </si>
  <si>
    <t>Lauró Zsolt</t>
  </si>
  <si>
    <t>Sassano Alessandro</t>
  </si>
  <si>
    <t>1,25</t>
  </si>
  <si>
    <t>Bácsa Edina, Kruzsicz Bernadett, Mihály István</t>
  </si>
  <si>
    <t>Gyula, Magvető Ref.  Magyar - Angol Két Tanítási Nyelvű ÁI. és Ó.</t>
  </si>
  <si>
    <t>Kóra Zsolt</t>
  </si>
  <si>
    <t>Mittag Ferdinánd</t>
  </si>
  <si>
    <t>Berényi Balázs</t>
  </si>
  <si>
    <t>1,20</t>
  </si>
  <si>
    <t>Dékány Dávid</t>
  </si>
  <si>
    <t>Taután Zsombor</t>
  </si>
  <si>
    <t>Dávid Szilvia, Forgách Ágnes</t>
  </si>
  <si>
    <t>Békéscsaba, Erzsébethelyi ÁI.</t>
  </si>
  <si>
    <t>Nagy-Goron Máté</t>
  </si>
  <si>
    <t>Baranyi Gergő</t>
  </si>
  <si>
    <t>Szvarnasz Janisz</t>
  </si>
  <si>
    <t>0,00</t>
  </si>
  <si>
    <t>Sándor Mátyás</t>
  </si>
  <si>
    <t>Kertész-Seres Marcell</t>
  </si>
  <si>
    <t>Szabó István Zoltán, Csökmei Bálint</t>
  </si>
  <si>
    <t>Versenyző 1</t>
  </si>
  <si>
    <t>Iskola 16</t>
  </si>
  <si>
    <t>Iskola 17</t>
  </si>
  <si>
    <t>Iskola 18</t>
  </si>
  <si>
    <t>Iskola 19</t>
  </si>
  <si>
    <t>Iskola 20</t>
  </si>
  <si>
    <t>Iskola 21</t>
  </si>
  <si>
    <t>Iskola 22</t>
  </si>
  <si>
    <t>Iskola 23</t>
  </si>
  <si>
    <t>Iskola 24</t>
  </si>
  <si>
    <t>Iskola 25</t>
  </si>
  <si>
    <t>Távolugrás fiú - III-IV. kcs.</t>
  </si>
  <si>
    <t>I</t>
  </si>
  <si>
    <t>II.</t>
  </si>
  <si>
    <t>III.</t>
  </si>
  <si>
    <t>Legjobb</t>
  </si>
  <si>
    <t>Orosháza, Székács József Evangélikus Ó., ÁI. és Gimn.</t>
  </si>
  <si>
    <t>Mészáros Zsombor</t>
  </si>
  <si>
    <t>5,23</t>
  </si>
  <si>
    <t>5,06</t>
  </si>
  <si>
    <t>5,25</t>
  </si>
  <si>
    <t>Németh Dániel</t>
  </si>
  <si>
    <t>X</t>
  </si>
  <si>
    <t>4,87</t>
  </si>
  <si>
    <t>Balla Márk</t>
  </si>
  <si>
    <t>4,33</t>
  </si>
  <si>
    <t>4,48</t>
  </si>
  <si>
    <t>Kovács Bence</t>
  </si>
  <si>
    <t>4,72</t>
  </si>
  <si>
    <t>4,67</t>
  </si>
  <si>
    <t>Győri Szabolcs</t>
  </si>
  <si>
    <t>4,03</t>
  </si>
  <si>
    <t>4,44</t>
  </si>
  <si>
    <t>Jeszenszky László, Németh-Csiki Rebeka</t>
  </si>
  <si>
    <t xml:space="preserve">Gyula, Gyulai Implom József ÁI.  </t>
  </si>
  <si>
    <t>4,75</t>
  </si>
  <si>
    <t>4,86</t>
  </si>
  <si>
    <t>4,43</t>
  </si>
  <si>
    <t>4,52</t>
  </si>
  <si>
    <t>4,68</t>
  </si>
  <si>
    <t>Bogár Dániel</t>
  </si>
  <si>
    <t>4,80</t>
  </si>
  <si>
    <t>4,92</t>
  </si>
  <si>
    <t>Kardos Sámuel</t>
  </si>
  <si>
    <t>4,34</t>
  </si>
  <si>
    <t>4,63</t>
  </si>
  <si>
    <t>Czoldán Csilla</t>
  </si>
  <si>
    <t xml:space="preserve">Békéscsaba, Lencsési ÁI. </t>
  </si>
  <si>
    <t>Stégermájer Tamás</t>
  </si>
  <si>
    <t>Kiss Milán</t>
  </si>
  <si>
    <t>4,95</t>
  </si>
  <si>
    <t>4,88</t>
  </si>
  <si>
    <t>4,98</t>
  </si>
  <si>
    <t>Borzák Botond</t>
  </si>
  <si>
    <t>4,08</t>
  </si>
  <si>
    <t>Kulcsár Vince</t>
  </si>
  <si>
    <t>3,92</t>
  </si>
  <si>
    <t>3,84</t>
  </si>
  <si>
    <t>3,80</t>
  </si>
  <si>
    <t>Veszeli Péter</t>
  </si>
  <si>
    <t>4,49</t>
  </si>
  <si>
    <t>4,20</t>
  </si>
  <si>
    <t>4,40</t>
  </si>
  <si>
    <t>Marikné Püski Zsuzsanna, Kun Alice</t>
  </si>
  <si>
    <t>Gyula, Gyulai Római Kat. Gimn., ÁI., Ó. és Koll.</t>
  </si>
  <si>
    <t>Kátai Botond</t>
  </si>
  <si>
    <t>3,20</t>
  </si>
  <si>
    <t>Bende Máté</t>
  </si>
  <si>
    <t>4,38</t>
  </si>
  <si>
    <t>Bicski Zsolt</t>
  </si>
  <si>
    <t>4,74</t>
  </si>
  <si>
    <t>Ferenczi Máté</t>
  </si>
  <si>
    <t>4,37</t>
  </si>
  <si>
    <t>4,39</t>
  </si>
  <si>
    <t>4,32</t>
  </si>
  <si>
    <t>Kilvinger Barnabás</t>
  </si>
  <si>
    <t>Házi Márk</t>
  </si>
  <si>
    <t>MIttag Ferdinánd</t>
  </si>
  <si>
    <t>3,98</t>
  </si>
  <si>
    <t>4,56</t>
  </si>
  <si>
    <t>Pesti László</t>
  </si>
  <si>
    <t>4,28</t>
  </si>
  <si>
    <t>4,11</t>
  </si>
  <si>
    <t>3,57</t>
  </si>
  <si>
    <t>Szekeres Márk</t>
  </si>
  <si>
    <t>4,05</t>
  </si>
  <si>
    <t>Békéscsaba, Jankay Tibor Két Tanítási Nyelvű ÁI.</t>
  </si>
  <si>
    <t>Karadi Olivér</t>
  </si>
  <si>
    <t>3,62</t>
  </si>
  <si>
    <t>3,58</t>
  </si>
  <si>
    <t>4,02</t>
  </si>
  <si>
    <t>Nagy Benjamin</t>
  </si>
  <si>
    <t>4,62</t>
  </si>
  <si>
    <t>4,55</t>
  </si>
  <si>
    <t>Nemesnyik Ábel</t>
  </si>
  <si>
    <t>3,46</t>
  </si>
  <si>
    <t>3,95</t>
  </si>
  <si>
    <t>Uhrin András</t>
  </si>
  <si>
    <t>3,73</t>
  </si>
  <si>
    <t>Pacsika Pál</t>
  </si>
  <si>
    <t>4,18</t>
  </si>
  <si>
    <t>Nagy János</t>
  </si>
  <si>
    <t>Kotroczó Krisztofer</t>
  </si>
  <si>
    <t>3,70</t>
  </si>
  <si>
    <t>3,90</t>
  </si>
  <si>
    <t>4,23</t>
  </si>
  <si>
    <t>Mócz Benett</t>
  </si>
  <si>
    <t>3,42</t>
  </si>
  <si>
    <t>4,00</t>
  </si>
  <si>
    <t>4,36</t>
  </si>
  <si>
    <t>Békés, Dr. Hepp Ferenc ÁI. "B"</t>
  </si>
  <si>
    <t>3,54</t>
  </si>
  <si>
    <t>3,96</t>
  </si>
  <si>
    <t>4,16</t>
  </si>
  <si>
    <t>Medve Bálint</t>
  </si>
  <si>
    <t>4,35</t>
  </si>
  <si>
    <t>Tóth László</t>
  </si>
  <si>
    <t>4,54</t>
  </si>
  <si>
    <t>Gyula, NICOLAE BĂLCESCU ROMÁN Gimn., ÁI. ÉS Koll.</t>
  </si>
  <si>
    <t>Fábián Patrik</t>
  </si>
  <si>
    <t>Pálfi Ervin</t>
  </si>
  <si>
    <t>4,58</t>
  </si>
  <si>
    <t>Papp-Such Koppány</t>
  </si>
  <si>
    <t>4,10</t>
  </si>
  <si>
    <t>Morár Adelén</t>
  </si>
  <si>
    <t>3,68</t>
  </si>
  <si>
    <t>3,66</t>
  </si>
  <si>
    <t>Molnár Krisztián</t>
  </si>
  <si>
    <t>Baktai Ferencné</t>
  </si>
  <si>
    <t>Békés, Dr. Hepp Ferenc ÁI. "A"</t>
  </si>
  <si>
    <t>Bús Csaba</t>
  </si>
  <si>
    <t>3,27</t>
  </si>
  <si>
    <t>3,55</t>
  </si>
  <si>
    <t>4,17</t>
  </si>
  <si>
    <t>Kósa László</t>
  </si>
  <si>
    <t>3,45</t>
  </si>
  <si>
    <t>3,65</t>
  </si>
  <si>
    <t>Zsibrita Levente</t>
  </si>
  <si>
    <t>4,50</t>
  </si>
  <si>
    <t>Sárközi Alen</t>
  </si>
  <si>
    <t>3,85</t>
  </si>
  <si>
    <t>3,28</t>
  </si>
  <si>
    <t>Majernik Milán</t>
  </si>
  <si>
    <t>3,30</t>
  </si>
  <si>
    <t>3,67</t>
  </si>
  <si>
    <t>Bánfi Zétény</t>
  </si>
  <si>
    <t>3,26</t>
  </si>
  <si>
    <t>Orosháza, Orosházi Táncsics Mihály Gimn. és Koll.</t>
  </si>
  <si>
    <t>Bakos Roland</t>
  </si>
  <si>
    <t>3,40</t>
  </si>
  <si>
    <t>3,33</t>
  </si>
  <si>
    <t>Hudák Csaba</t>
  </si>
  <si>
    <t>Kaszanyicki Ádám</t>
  </si>
  <si>
    <t>3,48</t>
  </si>
  <si>
    <t>Mák Zsombor</t>
  </si>
  <si>
    <t>Tóth Bulcsú</t>
  </si>
  <si>
    <t>Nagy Márton</t>
  </si>
  <si>
    <t>Súlylökés (4 kg) fiú - III-IV. kcs.</t>
  </si>
  <si>
    <t>Uhrin Zsombor</t>
  </si>
  <si>
    <t>9,34</t>
  </si>
  <si>
    <t>9,89</t>
  </si>
  <si>
    <t>9,63</t>
  </si>
  <si>
    <t>Kovács Lehel</t>
  </si>
  <si>
    <t>10,55</t>
  </si>
  <si>
    <t>10,66</t>
  </si>
  <si>
    <t>10,67</t>
  </si>
  <si>
    <t>10,44</t>
  </si>
  <si>
    <t>10,02</t>
  </si>
  <si>
    <t>10,13</t>
  </si>
  <si>
    <t>8,63</t>
  </si>
  <si>
    <t>9,18</t>
  </si>
  <si>
    <t>9,64</t>
  </si>
  <si>
    <t>8,38</t>
  </si>
  <si>
    <t>8,13</t>
  </si>
  <si>
    <t>Ficzere Viktor</t>
  </si>
  <si>
    <t>9,83</t>
  </si>
  <si>
    <t>11,23</t>
  </si>
  <si>
    <t>10,48</t>
  </si>
  <si>
    <t>Fehér Zalán</t>
  </si>
  <si>
    <t>7,40</t>
  </si>
  <si>
    <t>7,74</t>
  </si>
  <si>
    <t>8,69</t>
  </si>
  <si>
    <t xml:space="preserve">Bogár Dániel </t>
  </si>
  <si>
    <t>9,68</t>
  </si>
  <si>
    <t>10,20</t>
  </si>
  <si>
    <t>Torma Kornél</t>
  </si>
  <si>
    <t>7,66</t>
  </si>
  <si>
    <t>8,03</t>
  </si>
  <si>
    <t>6,89</t>
  </si>
  <si>
    <t>Kenéz Attila</t>
  </si>
  <si>
    <t>7,79</t>
  </si>
  <si>
    <t>7,62</t>
  </si>
  <si>
    <t>Orosz Mihály</t>
  </si>
  <si>
    <t>9,10</t>
  </si>
  <si>
    <t>9,67</t>
  </si>
  <si>
    <t>9,72</t>
  </si>
  <si>
    <t>Gera Benedek</t>
  </si>
  <si>
    <t>9,87</t>
  </si>
  <si>
    <t>9,66</t>
  </si>
  <si>
    <t>10,09</t>
  </si>
  <si>
    <t>Gera Botond</t>
  </si>
  <si>
    <t>9,17</t>
  </si>
  <si>
    <t>8,72</t>
  </si>
  <si>
    <t>8,97</t>
  </si>
  <si>
    <t>Juhász Péter</t>
  </si>
  <si>
    <t>7,69</t>
  </si>
  <si>
    <t>7,47</t>
  </si>
  <si>
    <t>8,05</t>
  </si>
  <si>
    <t>Kovács Marcell</t>
  </si>
  <si>
    <t>7,78</t>
  </si>
  <si>
    <t>8,20</t>
  </si>
  <si>
    <t>8,59</t>
  </si>
  <si>
    <t>Bognár István</t>
  </si>
  <si>
    <t>Boros Gergely</t>
  </si>
  <si>
    <t>7,90</t>
  </si>
  <si>
    <t>Szvarnosz Janisz</t>
  </si>
  <si>
    <t>6,59</t>
  </si>
  <si>
    <t>6,38</t>
  </si>
  <si>
    <t>7,11</t>
  </si>
  <si>
    <t>Piatkó Zsolt</t>
  </si>
  <si>
    <t>8,32</t>
  </si>
  <si>
    <t>8,55</t>
  </si>
  <si>
    <t>Puskás Ármin</t>
  </si>
  <si>
    <t>7,34</t>
  </si>
  <si>
    <t>7,94</t>
  </si>
  <si>
    <t>Tóth Ádám Csaba</t>
  </si>
  <si>
    <t>11,04</t>
  </si>
  <si>
    <t>10,77</t>
  </si>
  <si>
    <t>11,03</t>
  </si>
  <si>
    <t>Gyepes Balázs</t>
  </si>
  <si>
    <t>9,50</t>
  </si>
  <si>
    <t>9,12</t>
  </si>
  <si>
    <t>8,02</t>
  </si>
  <si>
    <t>7,61</t>
  </si>
  <si>
    <t>7,41</t>
  </si>
  <si>
    <t>7,30</t>
  </si>
  <si>
    <t>8,48</t>
  </si>
  <si>
    <t>7,83</t>
  </si>
  <si>
    <t>Balogh Bence</t>
  </si>
  <si>
    <t>8,50</t>
  </si>
  <si>
    <t>6,74</t>
  </si>
  <si>
    <t>7,27</t>
  </si>
  <si>
    <t>7,05</t>
  </si>
  <si>
    <t>Marschal Ákos, Házi Márk</t>
  </si>
  <si>
    <t>Békéscsaba, Savio Szent Domonkos Kat. ÁI. és Ó.</t>
  </si>
  <si>
    <t>Imling Hunor</t>
  </si>
  <si>
    <t>6,51</t>
  </si>
  <si>
    <t>6,88</t>
  </si>
  <si>
    <t>6,94</t>
  </si>
  <si>
    <t>Medvegy Áron</t>
  </si>
  <si>
    <t>5,44</t>
  </si>
  <si>
    <t>5,81</t>
  </si>
  <si>
    <t>5,98</t>
  </si>
  <si>
    <t>Sári Áron</t>
  </si>
  <si>
    <t>6,67</t>
  </si>
  <si>
    <t>6,60</t>
  </si>
  <si>
    <t>6,25</t>
  </si>
  <si>
    <t>Szász Bulcsú</t>
  </si>
  <si>
    <t>9,62</t>
  </si>
  <si>
    <t>9,07</t>
  </si>
  <si>
    <t>Tóth Bence Adrián</t>
  </si>
  <si>
    <t>11,15</t>
  </si>
  <si>
    <t>11,02</t>
  </si>
  <si>
    <t>10,90</t>
  </si>
  <si>
    <t>Sipos Erika</t>
  </si>
  <si>
    <t>Pusztaföldvár, Szent Imre Kat. ÁI. és Ó.</t>
  </si>
  <si>
    <t>Hevér Csaba Attila</t>
  </si>
  <si>
    <t>8,42</t>
  </si>
  <si>
    <t>8,09</t>
  </si>
  <si>
    <t>Juhász Máté MIlán</t>
  </si>
  <si>
    <t>7,28</t>
  </si>
  <si>
    <t>7,08</t>
  </si>
  <si>
    <t>Nánási Richárd Benjámin</t>
  </si>
  <si>
    <t>8,92</t>
  </si>
  <si>
    <t>9,08</t>
  </si>
  <si>
    <t>9,28</t>
  </si>
  <si>
    <t>Pokornyi Kristóf Zoltán</t>
  </si>
  <si>
    <t>Szántó Patrik</t>
  </si>
  <si>
    <t>5,96</t>
  </si>
  <si>
    <t>5,56</t>
  </si>
  <si>
    <t>5,10</t>
  </si>
  <si>
    <t>Varga Szabolcs</t>
  </si>
  <si>
    <t>8,95</t>
  </si>
  <si>
    <t>8,96</t>
  </si>
  <si>
    <t>Krajcsik Zsombor</t>
  </si>
  <si>
    <t>8,06</t>
  </si>
  <si>
    <t>Szöllősi Máté</t>
  </si>
  <si>
    <t>8,61</t>
  </si>
  <si>
    <t>8,89</t>
  </si>
  <si>
    <t>7,86</t>
  </si>
  <si>
    <t>6,16</t>
  </si>
  <si>
    <t>7,36</t>
  </si>
  <si>
    <t>7,65</t>
  </si>
  <si>
    <t>8,30</t>
  </si>
  <si>
    <t>8,65</t>
  </si>
  <si>
    <t>7,85</t>
  </si>
  <si>
    <t>Szín Ferenc</t>
  </si>
  <si>
    <t>7,63</t>
  </si>
  <si>
    <t>8,14</t>
  </si>
  <si>
    <t>8,10</t>
  </si>
  <si>
    <t>Szegedi Levente</t>
  </si>
  <si>
    <t>7,25</t>
  </si>
  <si>
    <t>Tokár Szilárd</t>
  </si>
  <si>
    <t>7,88</t>
  </si>
  <si>
    <t>7,00</t>
  </si>
  <si>
    <t>Kislabdahajítás fiú - III-IV. kcs.</t>
  </si>
  <si>
    <t>49,14</t>
  </si>
  <si>
    <t>x</t>
  </si>
  <si>
    <t>Győri Péter</t>
  </si>
  <si>
    <t>2014</t>
  </si>
  <si>
    <t>42,38</t>
  </si>
  <si>
    <t>44,93</t>
  </si>
  <si>
    <t>55,38</t>
  </si>
  <si>
    <t>49,01</t>
  </si>
  <si>
    <t>45,10</t>
  </si>
  <si>
    <t>Káli Dávid</t>
  </si>
  <si>
    <t>50,85</t>
  </si>
  <si>
    <t>38,94</t>
  </si>
  <si>
    <t>45,24</t>
  </si>
  <si>
    <t>56,66</t>
  </si>
  <si>
    <t>53,05</t>
  </si>
  <si>
    <t>38,70</t>
  </si>
  <si>
    <t>Juhos Imre</t>
  </si>
  <si>
    <t>47,15</t>
  </si>
  <si>
    <t xml:space="preserve">Csóka Milán </t>
  </si>
  <si>
    <t>45,86</t>
  </si>
  <si>
    <t>49,10</t>
  </si>
  <si>
    <t>46,70</t>
  </si>
  <si>
    <t>48,96</t>
  </si>
  <si>
    <t>48,64</t>
  </si>
  <si>
    <t>48,37</t>
  </si>
  <si>
    <t>45,20</t>
  </si>
  <si>
    <t>50,22</t>
  </si>
  <si>
    <t>47,97</t>
  </si>
  <si>
    <t>49,85</t>
  </si>
  <si>
    <t>Székács Bence</t>
  </si>
  <si>
    <t>36,88</t>
  </si>
  <si>
    <t>39,02</t>
  </si>
  <si>
    <t>47,87</t>
  </si>
  <si>
    <t>47,75</t>
  </si>
  <si>
    <t>42,00</t>
  </si>
  <si>
    <t>40,34</t>
  </si>
  <si>
    <t>44,46</t>
  </si>
  <si>
    <t>Bajkán Benett</t>
  </si>
  <si>
    <t>34,61</t>
  </si>
  <si>
    <t>45,83</t>
  </si>
  <si>
    <t>Nagy-Sebők Gergő</t>
  </si>
  <si>
    <t>46,69</t>
  </si>
  <si>
    <t>Pusztai Viktor</t>
  </si>
  <si>
    <t>46,92</t>
  </si>
  <si>
    <t>37,98</t>
  </si>
  <si>
    <t>Németh-Csiki Rebeka</t>
  </si>
  <si>
    <t>42,63</t>
  </si>
  <si>
    <t>48,85</t>
  </si>
  <si>
    <t>41,03</t>
  </si>
  <si>
    <t>Manczúr Roland</t>
  </si>
  <si>
    <t>39,75</t>
  </si>
  <si>
    <t>42,25</t>
  </si>
  <si>
    <t>Cserháti Zsolt</t>
  </si>
  <si>
    <t>45,36</t>
  </si>
  <si>
    <t>40,58</t>
  </si>
  <si>
    <t>Morar Valentin Adelin</t>
  </si>
  <si>
    <t>45,43</t>
  </si>
  <si>
    <t>40,33</t>
  </si>
  <si>
    <t>37,99</t>
  </si>
  <si>
    <t>36,10</t>
  </si>
  <si>
    <t>36,12</t>
  </si>
  <si>
    <t>42,36</t>
  </si>
  <si>
    <t>42,34</t>
  </si>
  <si>
    <t>50,21</t>
  </si>
  <si>
    <t>42,27</t>
  </si>
  <si>
    <t>51,18</t>
  </si>
  <si>
    <t>Bartyik Bendegúz</t>
  </si>
  <si>
    <t>36,77</t>
  </si>
  <si>
    <t>39,64</t>
  </si>
  <si>
    <t>35,86</t>
  </si>
  <si>
    <t>Békéscsaba, Békéscsabai Belvárosi ÁI. és Gimn.</t>
  </si>
  <si>
    <t>Orosz-Tóth Olivér</t>
  </si>
  <si>
    <t>46,66</t>
  </si>
  <si>
    <t>Nyeste Attila</t>
  </si>
  <si>
    <t>26,17</t>
  </si>
  <si>
    <t>Polgár Ákos</t>
  </si>
  <si>
    <t>38,31</t>
  </si>
  <si>
    <t>Kiss Tibor Zsombor</t>
  </si>
  <si>
    <t>46,90</t>
  </si>
  <si>
    <t>Katona László</t>
  </si>
  <si>
    <t>34,04</t>
  </si>
  <si>
    <t>Balogh-Halász Henriett</t>
  </si>
  <si>
    <t>Orosháza, Eötvös József Kat. ÁI. és Ó.</t>
  </si>
  <si>
    <t>Szabó Hunor</t>
  </si>
  <si>
    <t>37,61</t>
  </si>
  <si>
    <t>Mórocz Sándor</t>
  </si>
  <si>
    <t>49,50</t>
  </si>
  <si>
    <t>Szigeti Máté</t>
  </si>
  <si>
    <t>30,91</t>
  </si>
  <si>
    <t>Czollner Ábel</t>
  </si>
  <si>
    <t>36,58</t>
  </si>
  <si>
    <t>Kókai Noé</t>
  </si>
  <si>
    <t>39,09</t>
  </si>
  <si>
    <t xml:space="preserve">Testnevelő: </t>
  </si>
  <si>
    <t>Gönci Tibor</t>
  </si>
  <si>
    <t>Orosháza, Orosházi Vörösmarty Mihály ÁI. Czina Sándor Tagintézménye</t>
  </si>
  <si>
    <t>Nagy Dávid</t>
  </si>
  <si>
    <t>35,39</t>
  </si>
  <si>
    <t>Bagi Dominik János</t>
  </si>
  <si>
    <t>37,12</t>
  </si>
  <si>
    <t>Sárközi Aurél</t>
  </si>
  <si>
    <t>36,53</t>
  </si>
  <si>
    <t>Varga Liska Milán</t>
  </si>
  <si>
    <t>31,70</t>
  </si>
  <si>
    <t>Molnár Axel</t>
  </si>
  <si>
    <t>45,09</t>
  </si>
  <si>
    <t>Pécsi Villő, Györkös Attila</t>
  </si>
  <si>
    <t>Magasugrás lány - III-IV. kcs.</t>
  </si>
  <si>
    <t>Eredm.</t>
  </si>
  <si>
    <t>Beszterczey Luca</t>
  </si>
  <si>
    <t>Nagy Korina</t>
  </si>
  <si>
    <t>Varga Kincső</t>
  </si>
  <si>
    <t>Nyárfádi Alexa</t>
  </si>
  <si>
    <t>Bokos Eliza</t>
  </si>
  <si>
    <t>Forrás Hanna</t>
  </si>
  <si>
    <t>1,45</t>
  </si>
  <si>
    <t>Kiss Zoé</t>
  </si>
  <si>
    <t>Kóti Lili</t>
  </si>
  <si>
    <t>Szabó Csenge</t>
  </si>
  <si>
    <t>Szikora Petra</t>
  </si>
  <si>
    <t>Baiczer NIké</t>
  </si>
  <si>
    <t>Friderikusz Tamara</t>
  </si>
  <si>
    <t>1,15</t>
  </si>
  <si>
    <t>Kohanyecz Zoé</t>
  </si>
  <si>
    <t>Nagy Luca</t>
  </si>
  <si>
    <t>Bordás Dóra</t>
  </si>
  <si>
    <t>Döge Anna</t>
  </si>
  <si>
    <t>Juhász Fanni</t>
  </si>
  <si>
    <t>Szabó Annabella</t>
  </si>
  <si>
    <t>Ilyés Henrietta</t>
  </si>
  <si>
    <t>Rapcsányi Gyöngyi</t>
  </si>
  <si>
    <t>Óvári Dóra</t>
  </si>
  <si>
    <t>Rostás Emília</t>
  </si>
  <si>
    <t>Ursuly-Vidovenyecz Alexa</t>
  </si>
  <si>
    <t>Horváth Zsófia</t>
  </si>
  <si>
    <t>Selmeczi Júlia</t>
  </si>
  <si>
    <t>Kovács Tekla</t>
  </si>
  <si>
    <t>1,10</t>
  </si>
  <si>
    <t>Valki Jázmin</t>
  </si>
  <si>
    <t>Szabó Emese</t>
  </si>
  <si>
    <t>Iskola 9</t>
  </si>
  <si>
    <t>Iskola 10</t>
  </si>
  <si>
    <t>Iskola 11</t>
  </si>
  <si>
    <t>Iskola 12</t>
  </si>
  <si>
    <t>Iskola 13</t>
  </si>
  <si>
    <t>Iskola 14</t>
  </si>
  <si>
    <t>Iskola 15</t>
  </si>
  <si>
    <t>Távolugrás lány - III-IV. kcs.</t>
  </si>
  <si>
    <t>4,42</t>
  </si>
  <si>
    <t>4,04</t>
  </si>
  <si>
    <t>3,94</t>
  </si>
  <si>
    <t>Erdei Luca</t>
  </si>
  <si>
    <t>3,53</t>
  </si>
  <si>
    <t>Csomós Regina</t>
  </si>
  <si>
    <t>3,78</t>
  </si>
  <si>
    <t>3,93</t>
  </si>
  <si>
    <t>3,75</t>
  </si>
  <si>
    <t>3,72</t>
  </si>
  <si>
    <t>3,49</t>
  </si>
  <si>
    <t>3,50</t>
  </si>
  <si>
    <t>Urszuly-Vidovenyecz Alexa</t>
  </si>
  <si>
    <t>4,06</t>
  </si>
  <si>
    <t>Ökrös Virgínia</t>
  </si>
  <si>
    <t>3,36</t>
  </si>
  <si>
    <t>3,60</t>
  </si>
  <si>
    <t>Baiczer Niké</t>
  </si>
  <si>
    <t>Csicsely Ágnes</t>
  </si>
  <si>
    <t>3,69</t>
  </si>
  <si>
    <t>3,77</t>
  </si>
  <si>
    <t>3,82</t>
  </si>
  <si>
    <t>3,86</t>
  </si>
  <si>
    <t>3,76</t>
  </si>
  <si>
    <t>3,79</t>
  </si>
  <si>
    <t>3,52</t>
  </si>
  <si>
    <t>3,64</t>
  </si>
  <si>
    <t>4,14</t>
  </si>
  <si>
    <t>3,32</t>
  </si>
  <si>
    <t>3,25</t>
  </si>
  <si>
    <t>Kovács Hanna Lotti</t>
  </si>
  <si>
    <t>2,89</t>
  </si>
  <si>
    <t>3,99</t>
  </si>
  <si>
    <t>4,01</t>
  </si>
  <si>
    <t>Koór Kinga</t>
  </si>
  <si>
    <t>3,34</t>
  </si>
  <si>
    <t>Martyin Eszter</t>
  </si>
  <si>
    <t>Bukodi Dóra</t>
  </si>
  <si>
    <t>Fábián Hanna</t>
  </si>
  <si>
    <t>3,01</t>
  </si>
  <si>
    <t>3,29</t>
  </si>
  <si>
    <t>Majorovics Hanna</t>
  </si>
  <si>
    <t>2,92</t>
  </si>
  <si>
    <t>2,79</t>
  </si>
  <si>
    <t>Hajdu Lotti</t>
  </si>
  <si>
    <t>3,83</t>
  </si>
  <si>
    <t>Házi Márk, Marschal Ákos</t>
  </si>
  <si>
    <t>Vaszkó Gréta</t>
  </si>
  <si>
    <t>3,51</t>
  </si>
  <si>
    <t>3,13</t>
  </si>
  <si>
    <t>Sztraczinszki Letti</t>
  </si>
  <si>
    <t>Kocsik Panni</t>
  </si>
  <si>
    <t>3,06</t>
  </si>
  <si>
    <t>2,52</t>
  </si>
  <si>
    <t>2,77</t>
  </si>
  <si>
    <t>Szabó Zita</t>
  </si>
  <si>
    <t>Fazekas Kinga Laura</t>
  </si>
  <si>
    <t>3,88</t>
  </si>
  <si>
    <t>Fekete Enikő</t>
  </si>
  <si>
    <t>Buki Boglárka</t>
  </si>
  <si>
    <t>3,17</t>
  </si>
  <si>
    <t>Zsoldi Anna</t>
  </si>
  <si>
    <t>Szőke Anna</t>
  </si>
  <si>
    <t>3,47</t>
  </si>
  <si>
    <t>3,38</t>
  </si>
  <si>
    <t>Vadász Réka</t>
  </si>
  <si>
    <t>Ecseki Regina</t>
  </si>
  <si>
    <t>Faragó Zsófi</t>
  </si>
  <si>
    <t>Farkas Luca</t>
  </si>
  <si>
    <t>Krasznai Zara</t>
  </si>
  <si>
    <t>Kulcsár Éva Nóra</t>
  </si>
  <si>
    <t>3,15</t>
  </si>
  <si>
    <t>3,00</t>
  </si>
  <si>
    <t>Kötegyán, Sarkadi ÁI. Kötegyáni Tagintézménye</t>
  </si>
  <si>
    <t>Bodor Johanna</t>
  </si>
  <si>
    <t>2,88</t>
  </si>
  <si>
    <t>2,75</t>
  </si>
  <si>
    <t>Balogh Evolet Odett</t>
  </si>
  <si>
    <t>2,47</t>
  </si>
  <si>
    <t>2,57</t>
  </si>
  <si>
    <t>Pojendán Dorka</t>
  </si>
  <si>
    <t>Budai Johanna</t>
  </si>
  <si>
    <t>Szőke Erika</t>
  </si>
  <si>
    <t>Súlylökés (3 kg) lány - III-IV. kcs.</t>
  </si>
  <si>
    <t>Avram Alexa</t>
  </si>
  <si>
    <t>9,06</t>
  </si>
  <si>
    <t>8,07</t>
  </si>
  <si>
    <t>Bondár Minna</t>
  </si>
  <si>
    <t>6,52</t>
  </si>
  <si>
    <t>6,11</t>
  </si>
  <si>
    <t>5,79</t>
  </si>
  <si>
    <t>Kondoros Noémi</t>
  </si>
  <si>
    <t>7,50</t>
  </si>
  <si>
    <t>7,33</t>
  </si>
  <si>
    <t>Szántó Eszter</t>
  </si>
  <si>
    <t>6,55</t>
  </si>
  <si>
    <t>6,13</t>
  </si>
  <si>
    <t>6,54</t>
  </si>
  <si>
    <t>Medovarszki Sára</t>
  </si>
  <si>
    <t>6,42</t>
  </si>
  <si>
    <t>Kesztyűs Sára</t>
  </si>
  <si>
    <t>7,32</t>
  </si>
  <si>
    <t>Molnár MIra</t>
  </si>
  <si>
    <t>5,55</t>
  </si>
  <si>
    <t>6,04</t>
  </si>
  <si>
    <t>5,30</t>
  </si>
  <si>
    <t>Kovács Lara</t>
  </si>
  <si>
    <t>6,36</t>
  </si>
  <si>
    <t>6,68</t>
  </si>
  <si>
    <t>6,28</t>
  </si>
  <si>
    <t>5,62</t>
  </si>
  <si>
    <t>Baji Ildikó</t>
  </si>
  <si>
    <t>6,19</t>
  </si>
  <si>
    <t>6,87</t>
  </si>
  <si>
    <t>Kuffer Júlia</t>
  </si>
  <si>
    <t>6,75</t>
  </si>
  <si>
    <t>6,49</t>
  </si>
  <si>
    <t>Lipták Zara</t>
  </si>
  <si>
    <t>7,16</t>
  </si>
  <si>
    <t>Öreg Hargita</t>
  </si>
  <si>
    <t>5,78</t>
  </si>
  <si>
    <t>6,03</t>
  </si>
  <si>
    <t>5,34</t>
  </si>
  <si>
    <t>Varga Gréta</t>
  </si>
  <si>
    <t>7,67</t>
  </si>
  <si>
    <t>7,24</t>
  </si>
  <si>
    <t>7,72</t>
  </si>
  <si>
    <t>7,52</t>
  </si>
  <si>
    <t>Árgyelán Andrea</t>
  </si>
  <si>
    <t>7,02</t>
  </si>
  <si>
    <t>Baiczer niké</t>
  </si>
  <si>
    <t>6,90</t>
  </si>
  <si>
    <t>7,03</t>
  </si>
  <si>
    <t>Benyó Noémi</t>
  </si>
  <si>
    <t>8,35</t>
  </si>
  <si>
    <t>Bálint Hanna</t>
  </si>
  <si>
    <t>6,44</t>
  </si>
  <si>
    <t>Becsy Blanka</t>
  </si>
  <si>
    <t>6,12</t>
  </si>
  <si>
    <t>5,36</t>
  </si>
  <si>
    <t>5,72</t>
  </si>
  <si>
    <t>Stefanovits Szonja</t>
  </si>
  <si>
    <t>6,34</t>
  </si>
  <si>
    <t>6,71</t>
  </si>
  <si>
    <t>5,88</t>
  </si>
  <si>
    <t>6,31</t>
  </si>
  <si>
    <t>Nagy Amira</t>
  </si>
  <si>
    <t>6,58</t>
  </si>
  <si>
    <t>Gál Kincső</t>
  </si>
  <si>
    <t>5,94</t>
  </si>
  <si>
    <t>6,02</t>
  </si>
  <si>
    <t>5,28</t>
  </si>
  <si>
    <t>Csóka Abigél</t>
  </si>
  <si>
    <t>Bakonyi Blanka</t>
  </si>
  <si>
    <t>Szigeti Janka</t>
  </si>
  <si>
    <t>2,39</t>
  </si>
  <si>
    <t>Kislabdahajítás lány - III-IV. kcs.</t>
  </si>
  <si>
    <t>59,61</t>
  </si>
  <si>
    <t>43,98</t>
  </si>
  <si>
    <t>Molnár Mira</t>
  </si>
  <si>
    <t>39,32</t>
  </si>
  <si>
    <t>38,40</t>
  </si>
  <si>
    <t>41,08</t>
  </si>
  <si>
    <t>Zuppán Hanna</t>
  </si>
  <si>
    <t>48,53</t>
  </si>
  <si>
    <t>Püski Petra</t>
  </si>
  <si>
    <t>35,27</t>
  </si>
  <si>
    <t>Sás Veronika</t>
  </si>
  <si>
    <t>47,83</t>
  </si>
  <si>
    <t>Kincses Lili</t>
  </si>
  <si>
    <t>39,96</t>
  </si>
  <si>
    <t>Kiss Luca</t>
  </si>
  <si>
    <t>37,17</t>
  </si>
  <si>
    <t>42,14</t>
  </si>
  <si>
    <t>47,51</t>
  </si>
  <si>
    <t>37,39</t>
  </si>
  <si>
    <t>Purcsi Daniella</t>
  </si>
  <si>
    <t>38,50</t>
  </si>
  <si>
    <t>Bódi Csilla</t>
  </si>
  <si>
    <t>35,77</t>
  </si>
  <si>
    <t>Czifrák Borka</t>
  </si>
  <si>
    <t>37,75</t>
  </si>
  <si>
    <t>Karácsony Petra</t>
  </si>
  <si>
    <t>36,02</t>
  </si>
  <si>
    <t>Rózsa Petra</t>
  </si>
  <si>
    <t>40,05</t>
  </si>
  <si>
    <t>Rusznák Kamilla</t>
  </si>
  <si>
    <t>41,90</t>
  </si>
  <si>
    <t>Nyíri Kinga</t>
  </si>
  <si>
    <t>43,18</t>
  </si>
  <si>
    <t>Rácz Zsófia</t>
  </si>
  <si>
    <t>37,85</t>
  </si>
  <si>
    <t>Kustyán Zóra</t>
  </si>
  <si>
    <t>39,00</t>
  </si>
  <si>
    <t>38,00</t>
  </si>
  <si>
    <t>36,68</t>
  </si>
  <si>
    <t>Köteles Nóra</t>
  </si>
  <si>
    <t>45,87</t>
  </si>
  <si>
    <t>Czira Fruzsina</t>
  </si>
  <si>
    <t>36,07</t>
  </si>
  <si>
    <t>47,06</t>
  </si>
  <si>
    <t>37,09</t>
  </si>
  <si>
    <t>38,36</t>
  </si>
  <si>
    <t>36,43</t>
  </si>
  <si>
    <t>45,46</t>
  </si>
  <si>
    <t>37,33</t>
  </si>
  <si>
    <t>35,44</t>
  </si>
  <si>
    <t>32,53</t>
  </si>
  <si>
    <t>38,08</t>
  </si>
  <si>
    <t>43,67</t>
  </si>
  <si>
    <t>27,73</t>
  </si>
  <si>
    <t>36,79</t>
  </si>
  <si>
    <t>42,07</t>
  </si>
  <si>
    <t>Papp Gréta</t>
  </si>
  <si>
    <t>38,95</t>
  </si>
  <si>
    <t>Fekete Ildikó</t>
  </si>
  <si>
    <t>30,62</t>
  </si>
  <si>
    <t>33,95</t>
  </si>
  <si>
    <t>36,38</t>
  </si>
  <si>
    <t>34,09</t>
  </si>
  <si>
    <t>Jeszenszky László</t>
  </si>
  <si>
    <t>24,14</t>
  </si>
  <si>
    <t>28,42</t>
  </si>
  <si>
    <t>21,97</t>
  </si>
  <si>
    <t>Dubai Johanna</t>
  </si>
  <si>
    <t>20,67</t>
  </si>
  <si>
    <t>10x200 m vegyes váltó - III-IV. kcs.</t>
  </si>
  <si>
    <t>Lányok</t>
  </si>
  <si>
    <t>Szév</t>
  </si>
  <si>
    <t>Fiúk</t>
  </si>
  <si>
    <t>Eredmény</t>
  </si>
  <si>
    <t xml:space="preserve">Gyula, Gyulai Implom József ÁI. </t>
  </si>
  <si>
    <t>4:51,2</t>
  </si>
  <si>
    <t>Nagy Karina</t>
  </si>
  <si>
    <t>Bíró Kende</t>
  </si>
  <si>
    <t>5:05,2</t>
  </si>
  <si>
    <t>5:09,8</t>
  </si>
  <si>
    <t>5:11,4</t>
  </si>
  <si>
    <t>Poják Dominik</t>
  </si>
  <si>
    <t>Karácson Petra</t>
  </si>
  <si>
    <t>Demjén Hanga</t>
  </si>
  <si>
    <t>5:15,6</t>
  </si>
  <si>
    <t xml:space="preserve"> </t>
  </si>
  <si>
    <t>5:15,9</t>
  </si>
  <si>
    <t>Szőke Zsóka</t>
  </si>
  <si>
    <t>Berki Boglárka</t>
  </si>
  <si>
    <t>5:16,7</t>
  </si>
  <si>
    <t>5:33,6</t>
  </si>
  <si>
    <t>Ecseri Regina</t>
  </si>
  <si>
    <t>5:35,0</t>
  </si>
  <si>
    <t>Hajdú Olivér</t>
  </si>
  <si>
    <t>Udvardi László</t>
  </si>
  <si>
    <t>Antalfai Emma</t>
  </si>
  <si>
    <t>Prókai Ádám</t>
  </si>
  <si>
    <t>Lenti Zsófia</t>
  </si>
  <si>
    <t>Halász Ármin</t>
  </si>
  <si>
    <t>Krám Bianka</t>
  </si>
  <si>
    <t>Kriszte Zsombor</t>
  </si>
  <si>
    <t>6:01,2</t>
  </si>
  <si>
    <t>Mrena Renáta</t>
  </si>
  <si>
    <t>Csiszár Barbara Anett</t>
  </si>
  <si>
    <t>Idul Dávid</t>
  </si>
  <si>
    <t>Sárközi Dorina</t>
  </si>
  <si>
    <t>Sarkadi Gergő</t>
  </si>
  <si>
    <t>Dan Jázmin</t>
  </si>
  <si>
    <t>Molnár Alex</t>
  </si>
  <si>
    <t>Sztehlik Szabina</t>
  </si>
  <si>
    <t>Göblyös Laura</t>
  </si>
  <si>
    <t>Barta Hanna</t>
  </si>
  <si>
    <t>Papp Hanna</t>
  </si>
  <si>
    <t>Vozár Zsombor</t>
  </si>
  <si>
    <t>Balogh Renáta</t>
  </si>
  <si>
    <t>Tímár Júlia</t>
  </si>
  <si>
    <t>Feles Elek</t>
  </si>
  <si>
    <t>Iskola</t>
  </si>
  <si>
    <t>Megye</t>
  </si>
  <si>
    <t>Békés</t>
  </si>
  <si>
    <t>OM</t>
  </si>
  <si>
    <t>Iskolajgyk</t>
  </si>
  <si>
    <t>Intézmény</t>
  </si>
  <si>
    <t>Teleülés</t>
  </si>
  <si>
    <t>028106/001</t>
  </si>
  <si>
    <t>Szarvas, Gál Ferenc Egyetem Szarvasi Gyakorló ÁI. és GyakorlóÓ.</t>
  </si>
  <si>
    <t>Gál Ferenc Egyetem Szarvasi Gyakorló Általános Iskola és Gyakorlóóvoda</t>
  </si>
  <si>
    <t>Szarvas</t>
  </si>
  <si>
    <t>028106/002</t>
  </si>
  <si>
    <t>Szarvas, Gál Ferenc Egyetem Szarvasi Gyakorló ÁI. és GyakorlóÓ. - "B" oktatási épület</t>
  </si>
  <si>
    <t>Gál Ferenc Egyetem Szarvasi Gyakorló Általános Iskola és Gyakorlóóvoda - "B" oktatási épület</t>
  </si>
  <si>
    <t>028254/001</t>
  </si>
  <si>
    <t>Békéscsabai Kazinczy Ferenc Általános Iskola</t>
  </si>
  <si>
    <t>Békéscsaba</t>
  </si>
  <si>
    <t>028256/001</t>
  </si>
  <si>
    <t>Békéscsaba, Békéscsabai Baptista ÁI.</t>
  </si>
  <si>
    <t>Békéscsabai Baptista Általános Iskola</t>
  </si>
  <si>
    <t>028258/001</t>
  </si>
  <si>
    <t>Jankay Tibor Két Tanítási Nyelvű Általános Iskola</t>
  </si>
  <si>
    <t>028258/002</t>
  </si>
  <si>
    <t>Békéscsaba, Jankay Tibor Két Tanítási Nyelvű ÁI. Thurzó utcai Th.</t>
  </si>
  <si>
    <t>Jankay Tibor Két Tanítási Nyelvű Általános Iskola Thurzó utcai Telephelye</t>
  </si>
  <si>
    <t>028258/003</t>
  </si>
  <si>
    <t>Békéscsaba, Jankay Tibor Két Tanítási Nyelvű ÁI. Dedinszky Gyula utcai Th.</t>
  </si>
  <si>
    <t>Jankay Tibor Két Tanítási Nyelvű Általános Iskola Dedinszky Gyula utcai Telephelye</t>
  </si>
  <si>
    <t>028262/001</t>
  </si>
  <si>
    <t xml:space="preserve">Lencsési Általános Iskola </t>
  </si>
  <si>
    <t>028264/001</t>
  </si>
  <si>
    <t>Békéscsaba, Gerlai ÁI.</t>
  </si>
  <si>
    <t>Gerlai Általános Iskola</t>
  </si>
  <si>
    <t>028269/001</t>
  </si>
  <si>
    <t>Savio Szent Domonkos Katolikus Általános Iskola és Óvoda</t>
  </si>
  <si>
    <t>028269/002</t>
  </si>
  <si>
    <t>Telekgerendás, Savio Szent Domonkos Kat. ÁI. és Ó. Telekgerendási Th.</t>
  </si>
  <si>
    <t>Savio Szent Domonkos Katolikus Általános Iskola és Óvoda Telekgerendási Telephelye</t>
  </si>
  <si>
    <t>Telekgerendás</t>
  </si>
  <si>
    <t>028269/004</t>
  </si>
  <si>
    <t>Gerendás, Savio Szent Domonkos Kat. ÁI. és Ó. Gerendás Fürdő Utcai Th.</t>
  </si>
  <si>
    <t>Savio Szent Domonkos Katolikus Általános Iskola és Óvoda Gerendás Fürdő Utcai Telephelye</t>
  </si>
  <si>
    <t>Gerendás</t>
  </si>
  <si>
    <t>028269/006</t>
  </si>
  <si>
    <t>Kamut, Savio Szent Domonkos Kat. ÁI. és Ó. Kamut Petőfi Utcai Iskolai Th.</t>
  </si>
  <si>
    <t>Savio Szent Domonkos Katolikus Általános Iskola és Óvoda Kamut Petőfi Utcai Iskolai Telephelye</t>
  </si>
  <si>
    <t>Kamut</t>
  </si>
  <si>
    <t>028269/008</t>
  </si>
  <si>
    <t>Nagybánhegyes, Savio Szent Domonkos Kat. ÁI. és Ó. Nagybánhegyes Kossuth Utcai Th.</t>
  </si>
  <si>
    <t>Savio Szent Domonkos Katolikus Általános Iskola és Óvoda Nagybánhegyes Kossuth Utcai Telephelye</t>
  </si>
  <si>
    <t>Nagybánhegyes</t>
  </si>
  <si>
    <t>028269/010</t>
  </si>
  <si>
    <t>Végegyháza, Savio Szent Domonkos Kat. ÁI. és Ó. Végegyháza Széchenyi Utcai Iskolai Th.</t>
  </si>
  <si>
    <t>Savio Szent Domonkos Katolikus Általános Iskola és Óvoda Végegyháza Széchenyi Utcai Iskolai Telephelye</t>
  </si>
  <si>
    <t>Végegyháza</t>
  </si>
  <si>
    <t>028278/001</t>
  </si>
  <si>
    <t>Magvető Református  Magyar - Angol Két Tanítási Nyelvű Általános Iskola és Óvoda</t>
  </si>
  <si>
    <t>Gyula</t>
  </si>
  <si>
    <t>028279/010</t>
  </si>
  <si>
    <t>Orosházi Táncsics Mihály Gimnázium és Kollégium</t>
  </si>
  <si>
    <t>Orosháza</t>
  </si>
  <si>
    <t>028280/001</t>
  </si>
  <si>
    <t>Székács József Evangélikus Óvoda, Általános Iskola és Gimnázium</t>
  </si>
  <si>
    <t>028287/001</t>
  </si>
  <si>
    <t>Szarvas, Benka Gyula Evangélikus Angol Két Tanítási Nyelvű ÁI.,Ó. és AMI. Kossuth Lajos Utcai Th.</t>
  </si>
  <si>
    <t>Benka Gyula Evangélikus Angol Két Tanítási Nyelvű Általános Iskola, Óvoda és Alapfokú Művészeti Iskola</t>
  </si>
  <si>
    <t>Benka Gyula Evangélikus Angol Két Tanítási Nyelvű Általános Iskola,Óvoda és Alapfokú Művészeti Iskola Kossuth Lajos Utcai Telephelye</t>
  </si>
  <si>
    <t>028287/005</t>
  </si>
  <si>
    <t>Szarvas, Benka Gyula Evangélikus Angol Két Tanítási Nyelvű ÁI., Ó. és AMI.</t>
  </si>
  <si>
    <t>028292/011</t>
  </si>
  <si>
    <t>Szeghalom, Tildy Zoltán ÁI. és AMI.</t>
  </si>
  <si>
    <t>Tildy Zoltán Általános Iskola és Alapfokú Művészeti Iskola</t>
  </si>
  <si>
    <t>Szeghalom</t>
  </si>
  <si>
    <t>028292/013</t>
  </si>
  <si>
    <t>Szeghalom, Tildy Zoltán ÁI. és AMI. Dózsa György utca 13-17. szám alatti Th.</t>
  </si>
  <si>
    <t>Tildy Zoltán Általános Iskola és Alapfokú Művészeti Iskola Dózsa György utca 13-17. szám alatti telephelye</t>
  </si>
  <si>
    <t>028297/001</t>
  </si>
  <si>
    <t>Gyomaendrőd, Gyomaendrődi Kis Bálint ÁI.</t>
  </si>
  <si>
    <t>Gyomaendrődi Kis Bálint Általános Iskola</t>
  </si>
  <si>
    <t>Gyomaendrőd</t>
  </si>
  <si>
    <t>028297/003</t>
  </si>
  <si>
    <t>Gyomaendrőd, Gyomaendrődi Kis Bálint ÁI. Th.</t>
  </si>
  <si>
    <t>Gyomaendrődi Kis Bálint Általános Iskola Telephelye</t>
  </si>
  <si>
    <t>028298/001</t>
  </si>
  <si>
    <t>Gyomaendrőd, Rózsahegyi Kálmán ÁI.</t>
  </si>
  <si>
    <t>Rózsahegyi Kálmán Általános Iskola</t>
  </si>
  <si>
    <t>028300/001</t>
  </si>
  <si>
    <t>Gyomaendrőd, Szent Gellért Kat. ÁI. és Gimn.</t>
  </si>
  <si>
    <t>Szent Gellért Katolikus Általános Iskola és Gimnázium</t>
  </si>
  <si>
    <t>028300/005</t>
  </si>
  <si>
    <t>Gyomaendrőd, Szent Gellért Kat. ÁI. és Gimn. Th.</t>
  </si>
  <si>
    <t>Szent Gellért Katolikus Általános Iskola és Gimnázium telephelye</t>
  </si>
  <si>
    <t>028301/001</t>
  </si>
  <si>
    <t>Sarkad, Sarkadi ÁI.</t>
  </si>
  <si>
    <t>Sarkadi Általános Iskola</t>
  </si>
  <si>
    <t>Sarkad</t>
  </si>
  <si>
    <t>028301/003</t>
  </si>
  <si>
    <t>Sarkad, Sarkadi ÁI. Gyulai úti Th.</t>
  </si>
  <si>
    <t>Sarkadi Általános Iskola Gyulai úti Telephelye</t>
  </si>
  <si>
    <t>028301/004</t>
  </si>
  <si>
    <t>Sarkadi Általános Iskola Kötegyáni Tagintézménye</t>
  </si>
  <si>
    <t>Kötegyán</t>
  </si>
  <si>
    <t>028303/001</t>
  </si>
  <si>
    <t>Battonya, Battonyai Két Tanítási Nyelvű Szerb ÁI. és Ó.</t>
  </si>
  <si>
    <t>Battonyai Két Tanítási Nyelvű Szerb Általános Iskola és Óvoda</t>
  </si>
  <si>
    <t>Battonya</t>
  </si>
  <si>
    <t>028304/005</t>
  </si>
  <si>
    <t>Battonya, Magdu Lucian Román ÁI. és Ó.</t>
  </si>
  <si>
    <t>Magdu Lucian Román Általános Iskola és Óvoda</t>
  </si>
  <si>
    <t>028308/001</t>
  </si>
  <si>
    <t xml:space="preserve">Mezőhegyes, Mezőhegyesi József Attila ÁI. és Koll. </t>
  </si>
  <si>
    <t xml:space="preserve">Mezőhegyesi József Attila Általános Iskola és Kollégium </t>
  </si>
  <si>
    <t>Mezőhegyes</t>
  </si>
  <si>
    <t>028314/001</t>
  </si>
  <si>
    <t>Csorvás, Csorvási Gulyás Mihály ÁI.</t>
  </si>
  <si>
    <t>Csorvási Gulyás Mihály Általános Iskola</t>
  </si>
  <si>
    <t>Csorvás</t>
  </si>
  <si>
    <t>028314/007</t>
  </si>
  <si>
    <t>Csorvás, Csorvási Gulyás Mihály ÁI. Petőfi Sándor Utcai Th.</t>
  </si>
  <si>
    <t>Csorvási Gulyás Mihály Általános Iskola Petőfi Sándor Utcai Telephelye</t>
  </si>
  <si>
    <t>028315/001</t>
  </si>
  <si>
    <t>Doboz, Dobozi ÁI.</t>
  </si>
  <si>
    <t>Dobozi Általános Iskola</t>
  </si>
  <si>
    <t>Doboz</t>
  </si>
  <si>
    <t>028318/001</t>
  </si>
  <si>
    <t>Kondoros, Kondorosi Petőfi István ÁI. és Koll.</t>
  </si>
  <si>
    <t>Kondorosi Petőfi István Általános Iskola és Kollégium</t>
  </si>
  <si>
    <t>Kondoros</t>
  </si>
  <si>
    <t>028318/002</t>
  </si>
  <si>
    <t>Kondoros, Kondorosi Petőfi István ÁI. és Koll. Th.</t>
  </si>
  <si>
    <t>Kondorosi Petőfi István Általános Iskola és Kollégium Telephelye</t>
  </si>
  <si>
    <t>028319/001</t>
  </si>
  <si>
    <t xml:space="preserve">Köröstarcsa, Köröstarcsai Arany Gusztáv ÁI. </t>
  </si>
  <si>
    <t xml:space="preserve">Köröstarcsai Arany Gusztáv Általános Iskola </t>
  </si>
  <si>
    <t>Köröstarcsa</t>
  </si>
  <si>
    <t>028320/001</t>
  </si>
  <si>
    <t>Szabadkígyós, Szabadkígyósi ÁI.</t>
  </si>
  <si>
    <t>Szabadkígyósi Általános Iskola</t>
  </si>
  <si>
    <t>Szabadkígyós</t>
  </si>
  <si>
    <t>028322/001</t>
  </si>
  <si>
    <t>Újkígyós, Újkígyósi Széchenyi István ÁI.</t>
  </si>
  <si>
    <t>Újkígyósi Széchenyi István Általános Iskola</t>
  </si>
  <si>
    <t>Újkígyós</t>
  </si>
  <si>
    <t>028324/001</t>
  </si>
  <si>
    <t>Vésztő, Vésztői Ref. Egyházközség Kis Bálint ÁI.</t>
  </si>
  <si>
    <t>Vésztői Református Egyházközség Kis Bálint Általános Iskolája</t>
  </si>
  <si>
    <t>Vésztő</t>
  </si>
  <si>
    <t>028324/004</t>
  </si>
  <si>
    <t>Vésztő, Vésztői Ref. Egyházközség Kis Bálint ÁI. Bartók tér 2-4 szám alatti Th.</t>
  </si>
  <si>
    <t>Vésztői Református Egyházközség Kis Bálint Általános Iskolája Bartók tér 2-4 szám alatti telephelye</t>
  </si>
  <si>
    <t>028326/001</t>
  </si>
  <si>
    <t>Elek, Eleki Román ÁI.</t>
  </si>
  <si>
    <t>Eleki Román Általános Iskola</t>
  </si>
  <si>
    <t>Elek</t>
  </si>
  <si>
    <t>028326/002</t>
  </si>
  <si>
    <t>Elek, Eleki Román ÁI. Th.</t>
  </si>
  <si>
    <t>Eleki Román Általános Iskola Telephelye</t>
  </si>
  <si>
    <t>028327/001</t>
  </si>
  <si>
    <t>Kétegyháza, Kétegyházi Márki Sándor ÁI.</t>
  </si>
  <si>
    <t>Kétegyházi Márki Sándor Általános Iskola</t>
  </si>
  <si>
    <t>Kétegyháza</t>
  </si>
  <si>
    <t>028328/001</t>
  </si>
  <si>
    <t>Kétegyháza, Kétegyházi Román Nemzetiségi ÁI. és Ó.</t>
  </si>
  <si>
    <t>Kétegyházi Román Nemzetiségi Általános Iskola és Óvoda</t>
  </si>
  <si>
    <t>028328/002</t>
  </si>
  <si>
    <t>Kétegyháza, Kétegyházi Román Nemzetiségi ÁI. és Ó. Szent Imre utca 83 szám alatti Th.</t>
  </si>
  <si>
    <t>Kétegyházi Román Nemzetiségi Általános Iskola és Óvoda Szent Imre utca 83 szám alatti Telephelye</t>
  </si>
  <si>
    <t>028328/007</t>
  </si>
  <si>
    <t>Kétegyháza, Kétegyházi Román Nemzetiségi ÁI. és Ó. Szent Imre utca 91. sz. alatti Th.</t>
  </si>
  <si>
    <t>Kétegyházi Román Nemzetiségi Általános Iskola és Óvoda Szent Imre utca 91. sz. alatti Telephelye</t>
  </si>
  <si>
    <t>028329/001</t>
  </si>
  <si>
    <t>Lőkösháza, Lökösházi ÁI.</t>
  </si>
  <si>
    <t>Lökösházi Általános Iskola</t>
  </si>
  <si>
    <t>Lőkösháza</t>
  </si>
  <si>
    <t>028330/001</t>
  </si>
  <si>
    <t>Békéssámson, Békéssámsoni ÁI.</t>
  </si>
  <si>
    <t>Békéssámsoni Általános Iskola</t>
  </si>
  <si>
    <t>Békéssámson</t>
  </si>
  <si>
    <t>028334/002</t>
  </si>
  <si>
    <t>Nagyszénás, Nagyszénási Czabán Samu ÁI. Th.</t>
  </si>
  <si>
    <t>Nagyszénási Czabán Samu Általános Iskola</t>
  </si>
  <si>
    <t>Nagyszénási Czabán Samu Általános Iskola Telephelye</t>
  </si>
  <si>
    <t>Nagyszénás</t>
  </si>
  <si>
    <t>028334/008</t>
  </si>
  <si>
    <t>Nagyszénás, Nagyszénási Czabán Samu ÁI.</t>
  </si>
  <si>
    <t>028337/001</t>
  </si>
  <si>
    <t>Tótkomlós, Szlovák Két Tanítási Nyelvű ÁI. és Ó.</t>
  </si>
  <si>
    <t>Szlovák Két Tanítási Nyelvű Általános Iskola és Óvoda</t>
  </si>
  <si>
    <t>Tótkomlós</t>
  </si>
  <si>
    <t>028343/001</t>
  </si>
  <si>
    <t>Bucsa, Bucsai II. Rákóczi Ferenc ÁI. és AMI.</t>
  </si>
  <si>
    <t>Bucsai II. Rákóczi Ferenc Általános Iskola és Alapfokú Művészeti Iskola</t>
  </si>
  <si>
    <t>Bucsa</t>
  </si>
  <si>
    <t>028343/003</t>
  </si>
  <si>
    <t>Bucsa, Bucsai II. Rákóczi Ferenc ÁI. és AMI. Bocskai Utcai Th.</t>
  </si>
  <si>
    <t>Bucsai II. Rákóczi Ferenc Általános Iskola és Alapfokú Művészeti Iskola Bocskai Utcai Telephelye</t>
  </si>
  <si>
    <t>028352/001</t>
  </si>
  <si>
    <t>Dombegyház, Balsaráti Vitus János ÁI.</t>
  </si>
  <si>
    <t>Balsaráti Vitus János Általános Iskola</t>
  </si>
  <si>
    <t>Dombegyház</t>
  </si>
  <si>
    <t>028356/001</t>
  </si>
  <si>
    <t>Kunágota, Bereczki Máté ÁI.</t>
  </si>
  <si>
    <t>Bereczki Máté Általános Iskola</t>
  </si>
  <si>
    <t>Kunágota</t>
  </si>
  <si>
    <t>028357/001</t>
  </si>
  <si>
    <t>Magyarbánhegyes, Magyarbánhegyesi Kossuth Lajos ÁI.</t>
  </si>
  <si>
    <t>Magyarbánhegyesi Kossuth Lajos Általános Iskola</t>
  </si>
  <si>
    <t>Magyarbánhegyes</t>
  </si>
  <si>
    <t>028371/001</t>
  </si>
  <si>
    <t>Méhkerék, Méhkeréki Román Nemzetiségi Kétnyelvű ÁI.</t>
  </si>
  <si>
    <t>Méhkeréki Román Nemzetiségi Kétnyelvű Általános Iskola</t>
  </si>
  <si>
    <t>Méhkerék</t>
  </si>
  <si>
    <t>028374/001</t>
  </si>
  <si>
    <t>Békéscsaba, Békéscsabai Andrássy Gyula Gimn. és Koll.</t>
  </si>
  <si>
    <t>Békéscsabai Andrássy Gyula Gimnázium és Kollégium</t>
  </si>
  <si>
    <t>028375/001</t>
  </si>
  <si>
    <t>Mezőberény, Mezőberényi Petőfi Sándor Evangélikus  Gimn., Koll. és ÁI.</t>
  </si>
  <si>
    <t>Mezőberényi Petőfi Sándor Evangélikus  Gimnázium, Kollégium és Általános Iskola</t>
  </si>
  <si>
    <t>Mezőberény</t>
  </si>
  <si>
    <t>028375/002</t>
  </si>
  <si>
    <t>Mezőberény, Mezőberényi Petőfi Sándor Evangélikus Gimn., Koll. és ÁI. Th.</t>
  </si>
  <si>
    <t>Mezőberényi Petőfi Sándor Evangélikus Gimnázium, Kollégium és Általános Iskola Telephelye</t>
  </si>
  <si>
    <t>028376/001</t>
  </si>
  <si>
    <t>Mezőkovácsháza, Mezőkovácsházi Hunyadi János ÁI., Gimn. és Koll.</t>
  </si>
  <si>
    <t>Mezőkovácsházi Hunyadi János Általános Iskola, Gimnázium és Kollégium</t>
  </si>
  <si>
    <t>Mezőkovácsháza</t>
  </si>
  <si>
    <t>028376/028</t>
  </si>
  <si>
    <t>Mezőkovácsháza, Mezőkovácsházi Hunyadi János ÁI., Gimn. és Koll. Tagintézménye</t>
  </si>
  <si>
    <t>Mezőkovácsházi Hunyadi János Általános Iskola, Gimnázium és Kollégium Tagintézménye</t>
  </si>
  <si>
    <t>028380/001</t>
  </si>
  <si>
    <t>Gyula, Gyulai Erkel Ferenc Gimn. és Koll.</t>
  </si>
  <si>
    <t>Gyulai Erkel Ferenc Gimnázium és Kollégium</t>
  </si>
  <si>
    <t>028387/001</t>
  </si>
  <si>
    <t>NICOLAE BĂLCESCU ROMÁN GIMNÁZIUM, ÁLTALÁNOS ISKOLA ÉS KOLLÉGIUM</t>
  </si>
  <si>
    <t>028388/001</t>
  </si>
  <si>
    <t>Gyulai Római Katolikus Gimnázium, Általános Iskola, Óvoda és Kollégium</t>
  </si>
  <si>
    <t>028388/003</t>
  </si>
  <si>
    <t>Gyula, Gyulai Római Kat. Gimn., ÁI., Ó. és Koll. Erkel tér 2. sz. Th. Karácsonyi János Kat. ÁI.</t>
  </si>
  <si>
    <t>Gyulai Római Katolikus Gimnázium, Általános Iskola, Óvoda és Kollégium Erkel tér 2. sz. Telephelye Karácsonyi János Katolikus Általános Iskola</t>
  </si>
  <si>
    <t>028388/007</t>
  </si>
  <si>
    <t>Nagykamarás, Gyulai Római Kat. Gimn., ÁI., Ó. és Koll. Nagykamarás Ady utca 1. sz. Th. ÁI. Nagykamarás</t>
  </si>
  <si>
    <t>Gyulai Római Katolikus Gimnázium, Általános Iskola, Óvoda és Kollégium Nagykamarás Ady utca 1. sz. Telephelye Általános Iskola Nagykamarás</t>
  </si>
  <si>
    <t>Nagykamarás</t>
  </si>
  <si>
    <t>028388/010</t>
  </si>
  <si>
    <t>Tarhos, Gyulai Római Kat. Gimn., ÁI., Ó. és Koll., Tarhos, Kossuth Lajos utca 49. számú Th., Tarhosi ÁI.</t>
  </si>
  <si>
    <t>Gyulai Római Katolikus Gimnázium, Általános Iskola, Óvoda és Kollégium, Tarhos, Kossuth Lajos utca 49. számú telephelye, Tarhosi Általános Iskola</t>
  </si>
  <si>
    <t>Tarhos</t>
  </si>
  <si>
    <t>028390/009</t>
  </si>
  <si>
    <t>Békés, Dr. Illyés Sándor Ó., ÁI., Szakiskola, Készségfejlesztő Iskola, Koll. és Egységes Gyógypedagógiai Módszertani Intézmény</t>
  </si>
  <si>
    <t>Dr. Illyés Sándor Óvoda, Általános Iskola, Szakiskola, Készségfejlesztő Iskola, Kollégium és Egységes Gyógypedagógiai Módszertani Intézmény</t>
  </si>
  <si>
    <t>028393/001</t>
  </si>
  <si>
    <t>Békéscsabai Belvárosi Általános Iskola és Gimnázium</t>
  </si>
  <si>
    <t>028395/001</t>
  </si>
  <si>
    <t>Békéscsaba, Szeberényi Gusztáv Adolf Evangélikus Gimn., Tech., SzakGimn., ÁI., Ó., AMI. és Koll.</t>
  </si>
  <si>
    <t>Szeberényi Gusztáv Adolf Evangélikus Gimnázium, Technikum, Szakgimnázium, Általános Iskola, Óvoda, Alapfokú Művészeti Iskola és Kollégium</t>
  </si>
  <si>
    <t>028395/003</t>
  </si>
  <si>
    <t>Békéscsaba, Szeberényi Gusztáv Adolf Evangélikus Gimn., SzakGimn., ÁI., Ó., AMI. és Koll. Árpád Sori Th.</t>
  </si>
  <si>
    <t>Szeberényi Gusztáv Adolf Evangélikus Gimnázium, Szakgimnázium, Általános Iskola, Óvoda, Alapfokú Művészeti Iskola és Kollégium Árpád Sori Telephelye</t>
  </si>
  <si>
    <t>028395/004</t>
  </si>
  <si>
    <t>Békéscsaba, Szeberényi Gusztáv Adolf Evangélikus Gimn., SzakGimn., ÁI., Ó., AMI. és Koll. Baross Utcai Th.</t>
  </si>
  <si>
    <t>Szeberényi Gusztáv Adolf Evangélikus Gimnázium, Szakgimnázium, Általános Iskola, Óvoda, Alapfokú Művészeti Iskola és Kollégium Baross Utcai Telephelye</t>
  </si>
  <si>
    <t>028396/001</t>
  </si>
  <si>
    <t>Tótkomlós, Jankó János ÁI. és Gimn.</t>
  </si>
  <si>
    <t>Jankó János Általános Iskola és Gimnázium</t>
  </si>
  <si>
    <t>028409/001</t>
  </si>
  <si>
    <t>Békéscsaba, Békéscsabai Bartók Béla Műv. SzakGimn. és AMI.</t>
  </si>
  <si>
    <t>Békéscsabai Bartók Béla Művészeti Szakgimnázium és Alapfokú Művészeti Iskola</t>
  </si>
  <si>
    <t>028425/008</t>
  </si>
  <si>
    <t>Szarvas, Fő téri ÁI.</t>
  </si>
  <si>
    <t>Fő téri Általános Iskola</t>
  </si>
  <si>
    <t>028430/001</t>
  </si>
  <si>
    <t>Gyula, 5700 Gyula, Sándorhegy tanya 2.</t>
  </si>
  <si>
    <t>Gál Ferenc Egyetem</t>
  </si>
  <si>
    <t>5700 Gyula, Sándorhegy tanya 2.</t>
  </si>
  <si>
    <t>028452/001</t>
  </si>
  <si>
    <t>Békéscsaba, Esély Pedagógiai Központ Ó., ÁI., Szakiskola, Készségfejlesztő Iskola, Koll. és Egységes Gyógypedagógiai Módszertani Intézmény</t>
  </si>
  <si>
    <t>Esély Pedagógiai Központ Óvoda, Általános Iskola, Szakiskola, Készségfejlesztő Iskola, Kollégium és Egységes Gyógypedagógiai Módszertani Intézmény</t>
  </si>
  <si>
    <t>028452/002</t>
  </si>
  <si>
    <t>Békéscsaba, Esély Pedagógiai Központ EGYMI Th.</t>
  </si>
  <si>
    <t>Esély Pedagógiai Központ EGYMI Telephelye</t>
  </si>
  <si>
    <t>028452/013</t>
  </si>
  <si>
    <t>Magyarbánhegyes, Esély Pedagógiai Központ Ó., ÁI., Szakiskola, Készségfejlesztő Iskola, Koll. és Egységes Gyógypedagógiai Módszertani Intézmény Magyarbánhegyesi Tagintézménye</t>
  </si>
  <si>
    <t>Esély Pedagógiai Központ Óvoda, Általános Iskola, Szakiskola, Készségfejlesztő Iskola, Kollégium és Egységes Gyógypedagógiai Módszertani Intézmény Magyarbánhegyesi Tagintézménye</t>
  </si>
  <si>
    <t>028452/014</t>
  </si>
  <si>
    <t>Magyarbánhegyes, Esély Pedagógiai Központ Ó., ÁI., Szakiskola, Készségfejlesztő Iskola, Koll. és Egységes Gyógypedagógiai Módszertani Intézmény Magyarbánhegyesi Tagintézményének Árpád Utcai Th.</t>
  </si>
  <si>
    <t>Esély Pedagógiai Központ Óvoda, Általános Iskola, Szakiskola, Készségfejlesztő Iskola, Kollégium és Egységes Gyógypedagógiai Módszertani Intézmény Magyarbánhegyesi Tagintézményének Árpád Utcai Telephelye</t>
  </si>
  <si>
    <t>028456/001</t>
  </si>
  <si>
    <t>Békés, Szegedi Kis István Ref. Gimn., Tech., ÁI., Ó. és Koll.</t>
  </si>
  <si>
    <t>Szegedi Kis István Református Gimnázium, Technikum, Általános Iskola, Óvoda és Kollégium</t>
  </si>
  <si>
    <t>028456/003</t>
  </si>
  <si>
    <t>Békés, Szegedi Kis István Ref. Gimn., Tech., ÁI., Ó. és Koll. Alsó tagozata</t>
  </si>
  <si>
    <t>Szegedi Kis István Református Gimnázium, Technikum, Általános Iskola, Óvoda és Kollégium Alsó tagozata</t>
  </si>
  <si>
    <t>028456/006</t>
  </si>
  <si>
    <t>Békés, Szegedi Kis István Ref. Gimn., Tech., ÁI., Ó. és Koll. Szánthó Albert utcai Th.</t>
  </si>
  <si>
    <t>Szegedi Kis István Református Gimnázium, Technikum, Általános Iskola, Óvoda és Kollégium Szánthó Albert utcai telephelye</t>
  </si>
  <si>
    <t>028456/008</t>
  </si>
  <si>
    <t>Békés, Szegedi Kis István Ref. Gimn., Tech., ÁI., Ó. és Koll. Rákóczi utcai Th.</t>
  </si>
  <si>
    <t>Szegedi Kis István Református Gimnázium, Technikum, Általános Iskola, Óvoda és Kollégium Rákóczi utcai telephelye</t>
  </si>
  <si>
    <t>028475/001</t>
  </si>
  <si>
    <t>Medgyesegyháza, Schéner Mihály Evangélikus ÁI.</t>
  </si>
  <si>
    <t>Schéner Mihály Evangélikus Általános Iskola</t>
  </si>
  <si>
    <t>Medgyesegyháza</t>
  </si>
  <si>
    <t>028475/012</t>
  </si>
  <si>
    <t>Medgyesegyháza, Schéner Mihály Evangélikus ÁI. Jókai Utca 3. szám alatti Th.</t>
  </si>
  <si>
    <t>Schéner Mihály Evangélikus Általános Iskola Jókai Utca 3. szám alatti Telephelye</t>
  </si>
  <si>
    <t>037828/001</t>
  </si>
  <si>
    <t>Szeghalom, Péter András Gimn. és Koll.</t>
  </si>
  <si>
    <t>Péter András Gimnázium és Kollégium</t>
  </si>
  <si>
    <t>090035/003</t>
  </si>
  <si>
    <t>Geszt, Geszti Arany János ÁI.</t>
  </si>
  <si>
    <t>Geszti Arany János Általános Iskola</t>
  </si>
  <si>
    <t>Geszt</t>
  </si>
  <si>
    <t>101497/024</t>
  </si>
  <si>
    <t>Békéscsaba, Európai Üzleti Gimn. Békéscsaba Th.</t>
  </si>
  <si>
    <t>Európai Üzleti Gimnázium</t>
  </si>
  <si>
    <t>Európai Üzleti Gimnázium Békéscsaba Telephely</t>
  </si>
  <si>
    <t>200110/001</t>
  </si>
  <si>
    <t>Békéscsaba, Békéscsabai Petőfi Utcai ÁI.</t>
  </si>
  <si>
    <t>Békéscsabai Petőfi Utcai Általános Iskola</t>
  </si>
  <si>
    <t>200279/003</t>
  </si>
  <si>
    <t>Békéscsaba, Mozgáskorlátozottak Békés Megyei Egyesülete Napraforgó Egységes Gyógypedagógiai Módszertani Intézmény, Pedagógiai Szakszolgálat, Ó. és Fejlesztő Nevelés-oktatást Végző Iskola</t>
  </si>
  <si>
    <t>Mozgáskorlátozottak Békés Megyei Egyesülete Napraforgó Egységes Gyógypedagógiai Módszertani Intézmény, Pedagógiai Szakszolgálat, Óvoda és Fejlesztő Nevelés-oktatást Végző Iskola</t>
  </si>
  <si>
    <t>200290/043</t>
  </si>
  <si>
    <t>Békéscsaba, Pannon OK. Gimn., SzakGimn., Tech., SZKI és ÁI. Békéscsaba</t>
  </si>
  <si>
    <t>Pannon Oktatási Központ Gimnázium, Szakgimnázium, Technikum, Szakképző Iskola és Általános Iskola</t>
  </si>
  <si>
    <t>Pannon Oktatási Központ Gimnázium, Szakgimnázium, Technikum, Szakképző Iskola és Általános Iskola Békéscsaba</t>
  </si>
  <si>
    <t>200345/010</t>
  </si>
  <si>
    <t>Békés, Kölcsey Ferenc Gimn. Békési Tagintézménye</t>
  </si>
  <si>
    <t>Kölcsey Ferenc Gimnázium</t>
  </si>
  <si>
    <t>Kölcsey Ferenc Gimnázium Békési Tagintézménye</t>
  </si>
  <si>
    <t>200345/065</t>
  </si>
  <si>
    <t>Orosháza, Kölcsey Ferenc Gimn. Orosházi Tagintézménye</t>
  </si>
  <si>
    <t>Kölcsey Ferenc Gimnázium Orosházi Tagintézménye</t>
  </si>
  <si>
    <t>200417/001</t>
  </si>
  <si>
    <t>Szarvas, Szlovák ÁI., Ó. és Koll.</t>
  </si>
  <si>
    <t>Szlovák Általános Iskola, Óvoda és Kollégium</t>
  </si>
  <si>
    <t>200481/001</t>
  </si>
  <si>
    <t>Erzsébethelyi Általános Iskola</t>
  </si>
  <si>
    <t>200481/002</t>
  </si>
  <si>
    <t>Békéscsaba, Erzsébethelyi ÁI. Th.</t>
  </si>
  <si>
    <t>Erzsébethelyi Általános Iskola Telephelye</t>
  </si>
  <si>
    <t>200596/001</t>
  </si>
  <si>
    <t>Mezőgyán, Mezőgyáni ÁI.</t>
  </si>
  <si>
    <t>Mezőgyáni Általános Iskola</t>
  </si>
  <si>
    <t>Mezőgyán</t>
  </si>
  <si>
    <t>200607/001</t>
  </si>
  <si>
    <t>Békéscsaba, Szlovák Gimn., ÁI., Ó. és Koll.</t>
  </si>
  <si>
    <t>Szlovák Gimnázium, Általános Iskola, Óvoda és Kollégium</t>
  </si>
  <si>
    <t>200608/001</t>
  </si>
  <si>
    <t xml:space="preserve">Mezőberény, Mezőberényi ÁI. és AMI. </t>
  </si>
  <si>
    <t xml:space="preserve">Mezőberényi Általános Iskola és Alapfokú Művészeti Iskola </t>
  </si>
  <si>
    <t>200608/003</t>
  </si>
  <si>
    <t>Mezőberény, Mezőberényi ÁI. Alapfokú Műv. Tagintézménye</t>
  </si>
  <si>
    <t>Mezőberényi Általános Iskola Alapfokú Művészeti Tagintézménye</t>
  </si>
  <si>
    <t>200632/001</t>
  </si>
  <si>
    <t>Csabacsűd, Csabacsűdi Trefort Ágoston ÁI.</t>
  </si>
  <si>
    <t>Csabacsűdi Trefort Ágoston Általános Iskola</t>
  </si>
  <si>
    <t>Csabacsűd</t>
  </si>
  <si>
    <t>200632/004</t>
  </si>
  <si>
    <t>Csabacsűd, Csabacsűdi Trefort Ágoston ÁI. Iskola u. 9. alatti Th.</t>
  </si>
  <si>
    <t>Csabacsűdi Trefort Ágoston Általános Iskola Iskola u. 9. alatti telephelye</t>
  </si>
  <si>
    <t>200669/006</t>
  </si>
  <si>
    <t>Köröstarcsa, Bolyai János Gimn. és ÁI. Köröstarcsai Th.</t>
  </si>
  <si>
    <t>Bolyai János Gimnázium és Általános Iskola</t>
  </si>
  <si>
    <t>Bolyai János Gimnázium és Általános Iskola Köröstarcsai Telephelye</t>
  </si>
  <si>
    <t>200669/009</t>
  </si>
  <si>
    <t>Gyomaendrőd, Bolyai János Gimn. és ÁI. Gyomaendrődi Th.</t>
  </si>
  <si>
    <t>Bolyai János Gimnázium és Általános Iskola Gyomaendrődi Telephelye</t>
  </si>
  <si>
    <t>200669/020</t>
  </si>
  <si>
    <t>Szarvas, Bolyai János Gimn. és ÁI. Szarvasi Th.</t>
  </si>
  <si>
    <t>Bolyai János Gimnázium és Általános Iskola Szarvasi Telephelye</t>
  </si>
  <si>
    <t>200680/012</t>
  </si>
  <si>
    <t>Csorvás, Báthori István Gimn. Csorvási Tagintézménye</t>
  </si>
  <si>
    <t>Báthori István Gimnázium</t>
  </si>
  <si>
    <t>Báthori István Gimnázium Csorvási Tagintézménye</t>
  </si>
  <si>
    <t>200680/013</t>
  </si>
  <si>
    <t>Nagyszénás, Báthori István Gimn. Nagyszénási Tagintézménye</t>
  </si>
  <si>
    <t>Báthori István Gimnázium Nagyszénási Tagintézménye</t>
  </si>
  <si>
    <t>200680/014</t>
  </si>
  <si>
    <t>Füzesgyarmat, Báthori István Gimn. Füzesgyarmati Tagintézménye</t>
  </si>
  <si>
    <t>Báthori István Gimnázium Füzesgyarmati Tagintézménye</t>
  </si>
  <si>
    <t>Füzesgyarmat</t>
  </si>
  <si>
    <t>200680/017</t>
  </si>
  <si>
    <t>Vésztő, Báthori István Gimn. Vésztői Tagintézménye</t>
  </si>
  <si>
    <t>Báthori István Gimnázium Vésztői Tagintézménye</t>
  </si>
  <si>
    <t>200680/030</t>
  </si>
  <si>
    <t>Medgyesegyháza, Báthori István Gimn. Medgyesegyházai Tagintézménye</t>
  </si>
  <si>
    <t>Báthori István Gimnázium Medgyesegyházai Tagintézménye</t>
  </si>
  <si>
    <t>200680/033</t>
  </si>
  <si>
    <t>Dévaványa, Báthori István Gimn. Dévaványai Tagintézménye</t>
  </si>
  <si>
    <t>Báthori István Gimnázium Dévaványai Tagintézménye</t>
  </si>
  <si>
    <t>Dévaványa</t>
  </si>
  <si>
    <t>200680/036</t>
  </si>
  <si>
    <t>Békéscsaba, Báthori István Gimn. Békéscsabai Tagintézménye</t>
  </si>
  <si>
    <t>Báthori István Gimnázium Békéscsabai Tagintézménye</t>
  </si>
  <si>
    <t>200680/040</t>
  </si>
  <si>
    <t>Szarvas, Báthori István Gimn. Szarvasi Tagintézménye</t>
  </si>
  <si>
    <t>Báthori István Gimnázium Szarvasi Tagintézménye</t>
  </si>
  <si>
    <t>200901/004</t>
  </si>
  <si>
    <t>Dr. Hepp Ferenc Általános Iskola</t>
  </si>
  <si>
    <t>200901/017</t>
  </si>
  <si>
    <t>Békés, Dr. Hepp Ferenc ÁI. Bajza utcai Th.</t>
  </si>
  <si>
    <t>Dr. Hepp Ferenc Általános Iskola Bajza utcai telephelye</t>
  </si>
  <si>
    <t>200980/001</t>
  </si>
  <si>
    <t>Dévaványa, Ványai Ambrus ÁI. és AMI.</t>
  </si>
  <si>
    <t>Ványai Ambrus Általános Iskola és Alapfokú Művészeti Iskola</t>
  </si>
  <si>
    <t>200980/002</t>
  </si>
  <si>
    <t>Ecsegfalva, Ványai Ambrus ÁI. és AMI. Ecsegfalvai Th.</t>
  </si>
  <si>
    <t>Ványai Ambrus Általános Iskola és Alapfokú Művészeti Iskola Ecsegfalvai Telephelye</t>
  </si>
  <si>
    <t>Ecsegfalva</t>
  </si>
  <si>
    <t>200980/006</t>
  </si>
  <si>
    <t>Dévaványa, Ványai Ambrus ÁI. és AMI. Körösladányi úti Th.</t>
  </si>
  <si>
    <t>Ványai Ambrus Általános Iskola és Alapfokú Művészeti Iskola Körösladányi úti Telephelye</t>
  </si>
  <si>
    <t>201011/003</t>
  </si>
  <si>
    <t>Sarkadkeresztúr, Okányi ÁI. Sarkadkeresztúri Tagintézménye</t>
  </si>
  <si>
    <t>Okányi Általános Iskola</t>
  </si>
  <si>
    <t>Okányi Általános Iskola Sarkadkeresztúri Tagintézménye</t>
  </si>
  <si>
    <t>Sarkadkeresztúr</t>
  </si>
  <si>
    <t>201011/005</t>
  </si>
  <si>
    <t>Okány, Okányi ÁI.</t>
  </si>
  <si>
    <t>Okány</t>
  </si>
  <si>
    <t>201021/005</t>
  </si>
  <si>
    <t>Békéscsaba, Artista- és Előadó-Műv. Akadémia SZÍNITANHÁZ Tagintézménye</t>
  </si>
  <si>
    <t>Baross Imre Artista- és Előadó-művészeti Akadémia Szakgimnázium, Gimnázium, Technikum és Alapfokú Művészeti Iskola</t>
  </si>
  <si>
    <t>Artista- és Előadó-művészeti Akadémia SZÍNITANHÁZ Tagintézménye</t>
  </si>
  <si>
    <t>201088/001</t>
  </si>
  <si>
    <t>Füzesgyarmat, Kossuth Lajos ÁI. és AMI.</t>
  </si>
  <si>
    <t>Kossuth Lajos Általános Iskola és Alapfokú Művészeti Iskola</t>
  </si>
  <si>
    <t>201088/003</t>
  </si>
  <si>
    <t>Füzesgyarmat, Kossuth Lajos ÁI. és AMI. - Hegyesi utcai Th.</t>
  </si>
  <si>
    <t>Kossuth Lajos Általános Iskola és Alapfokú Művészeti Iskola - Hegyesi utcai Telephelye</t>
  </si>
  <si>
    <t>201088/004</t>
  </si>
  <si>
    <t>Füzesgyarmat, Kossuth Lajos ÁI. és AMI. - Bethlen utcai Th.</t>
  </si>
  <si>
    <t>Kossuth Lajos Általános Iskola és Alapfokú Művészeti Iskola - Bethlen utcai Telephelye</t>
  </si>
  <si>
    <t>201210/002</t>
  </si>
  <si>
    <t>Vésztő, Szabó Pál ÁI. és AMI.</t>
  </si>
  <si>
    <t>Szabó Pál Általános Iskola és Alapfokú Művészeti Iskola</t>
  </si>
  <si>
    <t>201262/001</t>
  </si>
  <si>
    <t>Kétsoprony, Szent István Kat. Ó. és ÁI.</t>
  </si>
  <si>
    <t>Szent István Katolikus Óvoda és Általános Iskola</t>
  </si>
  <si>
    <t>Kétsoprony</t>
  </si>
  <si>
    <t>201335/001</t>
  </si>
  <si>
    <t>Elek, Dr. Mester György ÁI.</t>
  </si>
  <si>
    <t>Dr. Mester György Általános Iskola</t>
  </si>
  <si>
    <t>201411/002</t>
  </si>
  <si>
    <t>Vésztő, Vésztői Sérült Gyermekekért Egyesület "Lépegető" Fejlesztő Nevelés- oktatást Végző Isk.</t>
  </si>
  <si>
    <t>Vésztői Sérült Gyermekekért Egyesület "Lépegető" Fejlesztő Nevelés- oktatást Végző Iskolája</t>
  </si>
  <si>
    <t>201425/012</t>
  </si>
  <si>
    <t>Békéscsaba, PREMIER Műv. SZAKGimn., Gimn. ÉS AMI.</t>
  </si>
  <si>
    <t>PREMIER MŰVÉSZETI SZAKGIMNÁZIUM, GIMNÁZIUM ÉS ALAPFOKÚ MŰVÉSZETI ISKOLA</t>
  </si>
  <si>
    <t>201475/001</t>
  </si>
  <si>
    <t>Körösladány, Tüköry Lajos ÁI. és AMI.</t>
  </si>
  <si>
    <t>Tüköry Lajos Általános Iskola és Alapfokú Művészeti Iskola</t>
  </si>
  <si>
    <t>Körösladány</t>
  </si>
  <si>
    <t>201510/001</t>
  </si>
  <si>
    <t>Orosháza, Orosházi Ref. Két Tanítási Nyelvű ÁI.</t>
  </si>
  <si>
    <t>Orosházi Református Két Tanítási Nyelvű Általános Iskola</t>
  </si>
  <si>
    <t>201572/001</t>
  </si>
  <si>
    <t>Eötvös József Katolikus Általános Iskola és Óvoda</t>
  </si>
  <si>
    <t>201601/001</t>
  </si>
  <si>
    <t>Battonya, Mikes Kelemen Kat. Gimn., ÁI. és Ó.</t>
  </si>
  <si>
    <t>Mikes Kelemen Katolikus Gimnázium, Általános Iskola és Óvoda</t>
  </si>
  <si>
    <t>201604/001</t>
  </si>
  <si>
    <t>Szent Imre Katolikus Általános Iskola és Óvoda</t>
  </si>
  <si>
    <t>Pusztaföldvár</t>
  </si>
  <si>
    <t>201625/004</t>
  </si>
  <si>
    <t>Békéscsaba, Tudásfa Felnőttoktatási Gimn. és ÁI. Békéscsabai Tagintézménye</t>
  </si>
  <si>
    <t xml:space="preserve">Tudásfa Felnőttoktatási Gimnázium és Általános Iskola </t>
  </si>
  <si>
    <t>Tudásfa Felnőttoktatási Gimnázium és Általános Iskola Békéscsabai Tagintézménye</t>
  </si>
  <si>
    <t>201625/017</t>
  </si>
  <si>
    <t>201676/002</t>
  </si>
  <si>
    <t>Szarvas, Vajda Péter Evangélikus Gimn.</t>
  </si>
  <si>
    <t>Vajda Péter Evangélikus Gimnázium</t>
  </si>
  <si>
    <t>201689/001</t>
  </si>
  <si>
    <t>Békés, Reményhír Gimn., SZKI, ÁI., Ó. és AMI.</t>
  </si>
  <si>
    <t>Reményhír Gimnázium, Szakképző Iskola, Általános Iskola, Óvoda és Alapfokú Művészeti Iskola</t>
  </si>
  <si>
    <t>201727/001</t>
  </si>
  <si>
    <t>Zsadány, Zsadányi Ref. ÁI.</t>
  </si>
  <si>
    <t>Zsadányi Református Általános Iskola</t>
  </si>
  <si>
    <t>Zsadány</t>
  </si>
  <si>
    <t>201738/001</t>
  </si>
  <si>
    <t>Békésszentandrás, Hunyadi János Kat. ÁI. és Ó.</t>
  </si>
  <si>
    <t>Hunyadi János Katolikus Általános Iskola és Óvoda</t>
  </si>
  <si>
    <t>Békésszentandrás</t>
  </si>
  <si>
    <t>201747/001</t>
  </si>
  <si>
    <t>Gádoros, Kisboldogasszony Kat. ÁI.</t>
  </si>
  <si>
    <t>Kisboldogasszony Katolikus Általános Iskola</t>
  </si>
  <si>
    <t>Gádoros</t>
  </si>
  <si>
    <t>201778/001</t>
  </si>
  <si>
    <t>Kevermes, Szent Orsolya Római Kat. ÁI. és Ó.</t>
  </si>
  <si>
    <t>Szent Orsolya Római Katolikus Általános Iskola és Óvoda</t>
  </si>
  <si>
    <t>Kevermes</t>
  </si>
  <si>
    <t>201779/001</t>
  </si>
  <si>
    <t>Csanádapáca, Nagyboldogasszony Kat. ÁI. és Ó.</t>
  </si>
  <si>
    <t>Nagyboldogasszony Katolikus Általános Iskola és Óvoda</t>
  </si>
  <si>
    <t>Csanádapáca</t>
  </si>
  <si>
    <t>201787/001</t>
  </si>
  <si>
    <t>Kaszaper, Mátyás Király Kat. ÁI. és Ó.</t>
  </si>
  <si>
    <t>Mátyás Király Katolikus Általános Iskola és Óvoda</t>
  </si>
  <si>
    <t>Kaszaper</t>
  </si>
  <si>
    <t>202728/005</t>
  </si>
  <si>
    <t>Gyomaendrőd, Iskola</t>
  </si>
  <si>
    <t>Alföldi Agrárszakképzési Centrum</t>
  </si>
  <si>
    <t>202728/009</t>
  </si>
  <si>
    <t>Kétegyháza, AASZC Dr. Pálfi György Mezőgazdasági Tech., SZKI és Koll.</t>
  </si>
  <si>
    <t>AASZC Dr. Pálfi György Mezőgazdasági Technikum, Szakképző Iskola és Kollégium</t>
  </si>
  <si>
    <t>202777/001</t>
  </si>
  <si>
    <t>Almáskamarás, Károlyi Bernát Nyelvoktató Német Nemzetiségi ÁI.</t>
  </si>
  <si>
    <t>Károlyi Bernát Nyelvoktató Német Nemzetiségi Általános Iskola</t>
  </si>
  <si>
    <t>Almáskamarás</t>
  </si>
  <si>
    <t>202952/001</t>
  </si>
  <si>
    <t>Orosháza, Wesley János Gyógypedagógiai Ó., ÁI., Fejlesztő Nevelés-oktatást Végző Iskola, Készségfejlesztő Iskola, Szakiskola</t>
  </si>
  <si>
    <t>Wesley János Gyógypedagógiai Óvoda, Általános Iskola, Fejlesztő Nevelés-oktatást Végző Iskola, Készségfejlesztő Iskola, Szakiskola</t>
  </si>
  <si>
    <t>202952/002</t>
  </si>
  <si>
    <t>Orosháza, Wesley János Gyógypedagógiai Ó., ÁI., Fejlesztő Nevelés-oktatást Végző Iskola,Készségfejlesztő Iskola, Szakiskola Th.</t>
  </si>
  <si>
    <t>Wesley János Gyógypedagógiai Óvoda, Általános Iskola, Fejlesztő Nevelés-oktatást Végző Iskola,Készségfejlesztő Iskola, Szakiskola Telephelye</t>
  </si>
  <si>
    <t>202963/001</t>
  </si>
  <si>
    <t>Orosháza, Orosházi Vörösmarty Mihály ÁI.</t>
  </si>
  <si>
    <t>Orosházi Vörösmarty Mihály Általános Iskola</t>
  </si>
  <si>
    <t>202963/002</t>
  </si>
  <si>
    <t>Orosháza, Orosházi Vörösmarty Mihály ÁI. Rákóczitelepi Tagintézménye</t>
  </si>
  <si>
    <t>Orosházi Vörösmarty Mihály Általános Iskola Rákóczitelepi Tagintézménye</t>
  </si>
  <si>
    <t>202963/004</t>
  </si>
  <si>
    <t>Orosházi Vörösmarty Mihály Általános Iskola Czina Sándor Tagintézménye</t>
  </si>
  <si>
    <t>202978/001</t>
  </si>
  <si>
    <t>Gyulai Implom József Általános Iskola</t>
  </si>
  <si>
    <t>202978/002</t>
  </si>
  <si>
    <t>Gyula, Gyulai Implom József ÁI. 5. Sz. ÁI. és Sportiskola Tagintézménye</t>
  </si>
  <si>
    <t>Gyulai Implom József Általános Iskola 5. Sz. Általános Iskola és Sportiskola Tagintézménye</t>
  </si>
  <si>
    <t>202987/001</t>
  </si>
  <si>
    <t>Gyula, Gyulai Dürer Albert ÁI.</t>
  </si>
  <si>
    <t>Gyulai Dürer Albert Általános Iskola</t>
  </si>
  <si>
    <t>202987/002</t>
  </si>
  <si>
    <t>Gyula, Gyulai Dürer Albert ÁI. Bay Zoltán ÁI. Tagintézménye</t>
  </si>
  <si>
    <t>Gyulai Dürer Albert Általános Iskola Bay Zoltán Általános Iskola Tagintézménye</t>
  </si>
  <si>
    <t>202987/003</t>
  </si>
  <si>
    <t>Gyula, Gyulai Dürer Albert ÁI. Bay Zoltán ÁI. Tagintézmény Th.</t>
  </si>
  <si>
    <t>Gyulai Dürer Albert Általános Iskola Bay Zoltán Általános Iskola Tagintézmény Telephelye</t>
  </si>
  <si>
    <t>203029/002</t>
  </si>
  <si>
    <t>Békéscsaba, Békéscsabai SZC Nemes Tihamér Tech. és Koll.</t>
  </si>
  <si>
    <t>Békéscsabai Szakképzési Centrum</t>
  </si>
  <si>
    <t>Békéscsabai SZC Nemes Tihamér Technikum és Kollégium</t>
  </si>
  <si>
    <t>203029/003</t>
  </si>
  <si>
    <t>Békéscsaba, Békéscsabai SZC Kemény Gábor Tech. Székhely</t>
  </si>
  <si>
    <t>Békéscsabai SZC Kemény Gábor Technikum Székhely</t>
  </si>
  <si>
    <t>203029/004</t>
  </si>
  <si>
    <t>Békéscsaba, Békéscsabai SZC Zwack József Tech. és SZKI</t>
  </si>
  <si>
    <t>Békéscsabai SZC Zwack József Technikum és Szakképző Iskola</t>
  </si>
  <si>
    <t>203029/007</t>
  </si>
  <si>
    <t>Békéscsaba, Békéscsabai SZC Trefort Ágoston Tech., SZKI és Koll.</t>
  </si>
  <si>
    <t>Békéscsabai SZC Trefort Ágoston Technikum, Szakképző Iskola és Kollégium</t>
  </si>
  <si>
    <t>203029/010</t>
  </si>
  <si>
    <t>Békéscsaba, Békéscsabai SZC Kós Károly Tech. és SZKI</t>
  </si>
  <si>
    <t>Békéscsabai SZC Kós Károly Technikum és Szakképző Iskola</t>
  </si>
  <si>
    <t>203029/012</t>
  </si>
  <si>
    <t>Békéscsaba, Békéscsabai SZC Széchenyi István Két Tanítási Nyelvű Közgazdasági Tech. és Koll.</t>
  </si>
  <si>
    <t>Békéscsabai SZC Széchenyi István Két Tanítási Nyelvű Közgazdasági Technikum és Kollégium</t>
  </si>
  <si>
    <t>203029/014</t>
  </si>
  <si>
    <t>Békéscsaba, Békéscsabai SZC Vásárhelyi Pál Tech.</t>
  </si>
  <si>
    <t>Békéscsabai SZC Vásárhelyi Pál Technikum</t>
  </si>
  <si>
    <t>203029/017</t>
  </si>
  <si>
    <t>Békéscsaba, Békéscsabai SZC Szent-Györgyi Albert Tech. és Koll.</t>
  </si>
  <si>
    <t>Békéscsabai SZC Szent-Györgyi Albert Technikum és Kollégium</t>
  </si>
  <si>
    <t>203069/002</t>
  </si>
  <si>
    <t>Gyula, Gyulai SzC Harruckern János Tech., SZKI és Koll.</t>
  </si>
  <si>
    <t>Gyulai Szakképzési Centrum</t>
  </si>
  <si>
    <t>Gyulai SzC Harruckern János Technikum, Szakképző Iskola és Kollégium</t>
  </si>
  <si>
    <t>203069/017</t>
  </si>
  <si>
    <t>Sarkad, Gyulai SZC Ady Endre-Bay Zoltán Tech., SZKI, Gimn. és Koll. - 5720 Sarkad, Vasút utca 2.</t>
  </si>
  <si>
    <t>Gyulai SZC Ady Endre-Bay Zoltán Technikum, Szakképző Iskola, Gimnázium és Kollégium - 5720 Sarkad, Vasút utca 2.</t>
  </si>
  <si>
    <t>203069/018</t>
  </si>
  <si>
    <t>Szarvas, Gyulai SZC Székely Mihály Tech., SZKI és Koll. - Székhely</t>
  </si>
  <si>
    <t>Gyulai SZC Székely Mihály Technikum, Szakképző Iskola és Kollégium - Székhely</t>
  </si>
  <si>
    <t>203069/023</t>
  </si>
  <si>
    <t>Orosháza, Gyulai SZC Kossuth Lajos Tech., SZKI és Koll. - Székhely</t>
  </si>
  <si>
    <t>Gyulai SZC Kossuth Lajos Technikum, Szakképző Iskola és Kollégium - Székhely</t>
  </si>
  <si>
    <t>203069/030</t>
  </si>
  <si>
    <t>Dévaványa, Gyulai SZC Dévaványai Tech., SZKI és Koll.</t>
  </si>
  <si>
    <t>Gyulai SZC Dévaványai Technikum, Szakképző Iskola és Kollégium</t>
  </si>
  <si>
    <t>203069/033</t>
  </si>
  <si>
    <t>Szeghalom, Gyulai SZC Szigeti Endre Tech. és SZKI</t>
  </si>
  <si>
    <t>Gyulai SZC Szigeti Endre Technikum és Szakképző Iskola</t>
  </si>
  <si>
    <t>203109/003</t>
  </si>
  <si>
    <t>Békés, Gál Ferenc Egyetem Tech., SZKI, Gimn. és Koll.</t>
  </si>
  <si>
    <t>Gál Ferenc Egyetem Technikum, Szakképző Iskola, Gimnázium és Kollégium</t>
  </si>
  <si>
    <t>203109/004</t>
  </si>
  <si>
    <t>Békés, Gál Ferenc Egyetem Tech., SZKI, Gimn. és Koll. (5630 Békés, Szarvasi u. 42.)</t>
  </si>
  <si>
    <t>Gál Ferenc Egyetem Technikum, Szakképző Iskola, Gimnázium és Kollégium (5630 Békés, Szarvasi u. 42.)</t>
  </si>
  <si>
    <t>203109/006</t>
  </si>
  <si>
    <t>Szeged, Gál Ferenc Egyetem Tech., SZKI, Gimn. és Koll. Szegedi Tagintézmény</t>
  </si>
  <si>
    <t>Gál Ferenc Egyetem Technikum, Szakképző Iskola, Gimnázium és Kollégium Szegedi Tagintézmény</t>
  </si>
  <si>
    <t>Szeged</t>
  </si>
  <si>
    <t>203246/001</t>
  </si>
  <si>
    <t>Mezőhegyes, Mezőhegyesi Tech., SZKI és Koll. székhelye</t>
  </si>
  <si>
    <t>Nemzeti Ménesbirtok és Tangazdaság Zártkörűen Működő Részvénytársaság</t>
  </si>
  <si>
    <t>Mezőhegyesi Technikum, Szakképző Iskola és Kollégium székhelye</t>
  </si>
  <si>
    <t>203604/001</t>
  </si>
  <si>
    <t>Körösladány, Kőrösi János Ref. ÁI.</t>
  </si>
  <si>
    <t>Kőrösi János Református Általános Iskola</t>
  </si>
  <si>
    <t>203626/001</t>
  </si>
  <si>
    <t xml:space="preserve">Gyula, Pánczél Imre Ó., ÁI., Készségfejlesztő Iskola, Koll. és Egységes Gyógypedagógiai Módszertani Intézmény </t>
  </si>
  <si>
    <t xml:space="preserve">Pánczél Imre Óvoda, Általános Iskola, Készségfejlesztő Iskola, Kollégium és Egységes Gyógypedagógiai Módszertani Intézmény </t>
  </si>
  <si>
    <t>203626/002</t>
  </si>
  <si>
    <t>Gyula, Pánczél Imre Ó., ÁI., Készségfejlesztő Iskola, Koll. és Egységes Gyógypedagógiai Módszertani Intézmény Th.</t>
  </si>
  <si>
    <t>Pánczél Imre Óvoda, Általános Iskola, Készségfejlesztő Iskola, Kollégium és Egységes Gyógypedagógiai Módszertani Intézmény Telephelye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</si>
</sst>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000000000"/>
  </numFmts>
  <fonts count="23" x14ac:knownFonts="1">
    <font>
      <sz val="10"/>
      <color rgb="FF000000"/>
      <name val="Arial"/>
      <scheme val="minor"/>
    </font>
    <font>
      <b/>
      <sz val="12"/>
      <color theme="1"/>
      <name val="Oswald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Oswald"/>
    </font>
    <font>
      <b/>
      <sz val="8"/>
      <color theme="1"/>
      <name val="Oswald"/>
    </font>
    <font>
      <sz val="8"/>
      <color theme="1"/>
      <name val="Oswald"/>
    </font>
    <font>
      <sz val="8"/>
      <color theme="1"/>
      <name val="Arial"/>
      <scheme val="minor"/>
    </font>
    <font>
      <b/>
      <sz val="11"/>
      <color theme="1"/>
      <name val="Arial"/>
      <scheme val="minor"/>
    </font>
    <font>
      <b/>
      <sz val="11"/>
      <color rgb="FF5B0F00"/>
      <name val="Arial"/>
      <scheme val="minor"/>
    </font>
    <font>
      <sz val="10"/>
      <name val="Arial"/>
    </font>
    <font>
      <b/>
      <sz val="12"/>
      <color rgb="FF660000"/>
      <name val="Arial"/>
      <scheme val="minor"/>
    </font>
    <font>
      <sz val="11"/>
      <color theme="1"/>
      <name val="Arial"/>
      <scheme val="minor"/>
    </font>
    <font>
      <i/>
      <sz val="10"/>
      <color theme="1"/>
      <name val="Arial"/>
      <scheme val="minor"/>
    </font>
    <font>
      <b/>
      <i/>
      <sz val="10"/>
      <color theme="1"/>
      <name val="Arial"/>
      <scheme val="minor"/>
    </font>
    <font>
      <b/>
      <sz val="11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F3F3F3"/>
      <name val="Arial"/>
      <scheme val="minor"/>
    </font>
    <font>
      <b/>
      <sz val="11"/>
      <color rgb="FFF3F3F3"/>
      <name val="Arial"/>
      <scheme val="minor"/>
    </font>
    <font>
      <b/>
      <sz val="11"/>
      <color rgb="FFFFFF00"/>
      <name val="Oswald"/>
    </font>
    <font>
      <sz val="11"/>
      <color theme="1"/>
      <name val="Calibri"/>
    </font>
    <font>
      <b/>
      <sz val="11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F1F7E8"/>
        <bgColor rgb="FFF1F7E8"/>
      </patternFill>
    </fill>
    <fill>
      <patternFill patternType="solid">
        <fgColor rgb="FFF3F3F3"/>
        <bgColor rgb="FFF3F3F3"/>
      </patternFill>
    </fill>
    <fill>
      <patternFill patternType="solid">
        <fgColor rgb="FFF1C232"/>
        <bgColor rgb="FFF1C232"/>
      </patternFill>
    </fill>
    <fill>
      <patternFill patternType="solid">
        <fgColor rgb="FFCCCCCC"/>
        <bgColor rgb="FFCCCCCC"/>
      </patternFill>
    </fill>
    <fill>
      <patternFill patternType="solid">
        <fgColor rgb="FF0B5394"/>
        <bgColor rgb="FF0B539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2" borderId="2" xfId="0" applyFont="1" applyFill="1" applyBorder="1"/>
    <xf numFmtId="49" fontId="3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4" xfId="0" applyFont="1" applyFill="1" applyBorder="1"/>
    <xf numFmtId="49" fontId="6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right"/>
    </xf>
    <xf numFmtId="164" fontId="6" fillId="3" borderId="4" xfId="0" applyNumberFormat="1" applyFont="1" applyFill="1" applyBorder="1" applyAlignment="1">
      <alignment horizontal="right"/>
    </xf>
    <xf numFmtId="0" fontId="6" fillId="3" borderId="4" xfId="0" applyFont="1" applyFill="1" applyBorder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8" fillId="0" borderId="4" xfId="0" applyFont="1" applyBorder="1" applyAlignment="1">
      <alignment horizontal="left" vertical="top"/>
    </xf>
    <xf numFmtId="2" fontId="11" fillId="0" borderId="1" xfId="0" applyNumberFormat="1" applyFont="1" applyBorder="1" applyAlignment="1">
      <alignment horizontal="right" vertical="top"/>
    </xf>
    <xf numFmtId="164" fontId="11" fillId="4" borderId="1" xfId="0" applyNumberFormat="1" applyFont="1" applyFill="1" applyBorder="1" applyAlignment="1">
      <alignment horizontal="right" vertical="top"/>
    </xf>
    <xf numFmtId="0" fontId="8" fillId="5" borderId="5" xfId="0" applyFont="1" applyFill="1" applyBorder="1" applyAlignment="1">
      <alignment horizontal="right" vertical="top"/>
    </xf>
    <xf numFmtId="0" fontId="12" fillId="0" borderId="0" xfId="0" applyFont="1" applyAlignment="1">
      <alignment vertical="top"/>
    </xf>
    <xf numFmtId="0" fontId="2" fillId="0" borderId="4" xfId="0" applyFont="1" applyBorder="1" applyAlignment="1">
      <alignment horizontal="left"/>
    </xf>
    <xf numFmtId="0" fontId="3" fillId="0" borderId="4" xfId="0" applyFont="1" applyBorder="1"/>
    <xf numFmtId="49" fontId="3" fillId="0" borderId="4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49" fontId="3" fillId="6" borderId="4" xfId="0" applyNumberFormat="1" applyFont="1" applyFill="1" applyBorder="1" applyAlignment="1">
      <alignment horizontal="right"/>
    </xf>
    <xf numFmtId="2" fontId="2" fillId="7" borderId="4" xfId="0" applyNumberFormat="1" applyFont="1" applyFill="1" applyBorder="1" applyAlignment="1">
      <alignment horizontal="right"/>
    </xf>
    <xf numFmtId="0" fontId="14" fillId="0" borderId="0" xfId="0" applyFont="1" applyAlignment="1">
      <alignment horizontal="left"/>
    </xf>
    <xf numFmtId="0" fontId="13" fillId="0" borderId="1" xfId="0" applyFont="1" applyBorder="1"/>
    <xf numFmtId="0" fontId="13" fillId="0" borderId="3" xfId="0" applyFont="1" applyBorder="1"/>
    <xf numFmtId="49" fontId="13" fillId="0" borderId="1" xfId="0" applyNumberFormat="1" applyFont="1" applyBorder="1" applyAlignment="1">
      <alignment horizontal="left"/>
    </xf>
    <xf numFmtId="49" fontId="13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right"/>
    </xf>
    <xf numFmtId="2" fontId="13" fillId="0" borderId="3" xfId="0" applyNumberFormat="1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/>
    <xf numFmtId="49" fontId="13" fillId="0" borderId="1" xfId="0" applyNumberFormat="1" applyFont="1" applyBorder="1" applyAlignment="1">
      <alignment horizontal="center"/>
    </xf>
    <xf numFmtId="165" fontId="3" fillId="0" borderId="0" xfId="0" applyNumberFormat="1" applyFont="1"/>
    <xf numFmtId="0" fontId="15" fillId="0" borderId="4" xfId="0" applyFont="1" applyBorder="1" applyAlignment="1">
      <alignment vertical="top"/>
    </xf>
    <xf numFmtId="0" fontId="16" fillId="0" borderId="0" xfId="0" applyFont="1"/>
    <xf numFmtId="0" fontId="16" fillId="0" borderId="4" xfId="0" applyFont="1" applyBorder="1"/>
    <xf numFmtId="0" fontId="17" fillId="0" borderId="4" xfId="0" applyFont="1" applyBorder="1"/>
    <xf numFmtId="49" fontId="17" fillId="0" borderId="4" xfId="0" applyNumberFormat="1" applyFont="1" applyBorder="1" applyAlignment="1">
      <alignment horizontal="center"/>
    </xf>
    <xf numFmtId="164" fontId="17" fillId="0" borderId="0" xfId="0" applyNumberFormat="1" applyFont="1"/>
    <xf numFmtId="0" fontId="17" fillId="0" borderId="0" xfId="0" applyFont="1"/>
    <xf numFmtId="49" fontId="17" fillId="0" borderId="0" xfId="0" applyNumberFormat="1" applyFont="1"/>
    <xf numFmtId="2" fontId="16" fillId="0" borderId="0" xfId="0" applyNumberFormat="1" applyFont="1"/>
    <xf numFmtId="4" fontId="3" fillId="2" borderId="2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9" fillId="0" borderId="3" xfId="0" applyFont="1" applyBorder="1" applyAlignment="1">
      <alignment horizontal="left" vertical="top" wrapText="1"/>
    </xf>
    <xf numFmtId="49" fontId="13" fillId="6" borderId="4" xfId="0" applyNumberFormat="1" applyFont="1" applyFill="1" applyBorder="1" applyAlignment="1">
      <alignment horizontal="center"/>
    </xf>
    <xf numFmtId="4" fontId="2" fillId="4" borderId="4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left"/>
    </xf>
    <xf numFmtId="4" fontId="13" fillId="0" borderId="3" xfId="0" applyNumberFormat="1" applyFont="1" applyBorder="1" applyAlignment="1">
      <alignment horizontal="right"/>
    </xf>
    <xf numFmtId="4" fontId="17" fillId="0" borderId="0" xfId="0" applyNumberFormat="1" applyFont="1"/>
    <xf numFmtId="0" fontId="1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3" fillId="8" borderId="2" xfId="0" applyFont="1" applyFill="1" applyBorder="1"/>
    <xf numFmtId="49" fontId="3" fillId="8" borderId="2" xfId="0" applyNumberFormat="1" applyFont="1" applyFill="1" applyBorder="1" applyAlignment="1">
      <alignment horizontal="center"/>
    </xf>
    <xf numFmtId="49" fontId="4" fillId="8" borderId="2" xfId="0" applyNumberFormat="1" applyFont="1" applyFill="1" applyBorder="1" applyAlignment="1">
      <alignment horizontal="center"/>
    </xf>
    <xf numFmtId="49" fontId="3" fillId="8" borderId="2" xfId="0" applyNumberFormat="1" applyFont="1" applyFill="1" applyBorder="1" applyAlignment="1">
      <alignment horizontal="right"/>
    </xf>
    <xf numFmtId="49" fontId="2" fillId="8" borderId="2" xfId="0" applyNumberFormat="1" applyFont="1" applyFill="1" applyBorder="1" applyAlignment="1">
      <alignment horizontal="right"/>
    </xf>
    <xf numFmtId="164" fontId="3" fillId="8" borderId="2" xfId="0" applyNumberFormat="1" applyFont="1" applyFill="1" applyBorder="1" applyAlignment="1">
      <alignment horizontal="right"/>
    </xf>
    <xf numFmtId="4" fontId="3" fillId="8" borderId="2" xfId="0" applyNumberFormat="1" applyFont="1" applyFill="1" applyBorder="1" applyAlignment="1">
      <alignment horizontal="right"/>
    </xf>
    <xf numFmtId="49" fontId="5" fillId="3" borderId="4" xfId="0" applyNumberFormat="1" applyFont="1" applyFill="1" applyBorder="1" applyAlignment="1">
      <alignment horizontal="right"/>
    </xf>
    <xf numFmtId="2" fontId="18" fillId="0" borderId="0" xfId="0" applyNumberFormat="1" applyFont="1"/>
    <xf numFmtId="164" fontId="11" fillId="6" borderId="1" xfId="0" applyNumberFormat="1" applyFont="1" applyFill="1" applyBorder="1" applyAlignment="1">
      <alignment horizontal="right" vertical="top"/>
    </xf>
    <xf numFmtId="2" fontId="19" fillId="0" borderId="0" xfId="0" applyNumberFormat="1" applyFont="1" applyAlignment="1">
      <alignment horizontal="right" vertical="top"/>
    </xf>
    <xf numFmtId="49" fontId="3" fillId="0" borderId="1" xfId="0" applyNumberFormat="1" applyFont="1" applyBorder="1" applyAlignment="1">
      <alignment horizontal="center"/>
    </xf>
    <xf numFmtId="49" fontId="3" fillId="9" borderId="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49" fontId="3" fillId="9" borderId="7" xfId="0" applyNumberFormat="1" applyFont="1" applyFill="1" applyBorder="1" applyAlignment="1">
      <alignment horizontal="center"/>
    </xf>
    <xf numFmtId="49" fontId="3" fillId="9" borderId="8" xfId="0" applyNumberFormat="1" applyFont="1" applyFill="1" applyBorder="1" applyAlignment="1">
      <alignment horizontal="center"/>
    </xf>
    <xf numFmtId="0" fontId="13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20" fillId="10" borderId="9" xfId="0" applyFont="1" applyFill="1" applyBorder="1" applyAlignment="1">
      <alignment horizontal="center" wrapText="1"/>
    </xf>
    <xf numFmtId="0" fontId="20" fillId="10" borderId="0" xfId="0" applyFont="1" applyFill="1" applyAlignment="1">
      <alignment vertical="top" wrapText="1"/>
    </xf>
    <xf numFmtId="0" fontId="20" fillId="10" borderId="0" xfId="0" applyFont="1" applyFill="1" applyAlignment="1">
      <alignment vertical="top"/>
    </xf>
    <xf numFmtId="0" fontId="2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2" fillId="0" borderId="0" xfId="0" applyFont="1"/>
    <xf numFmtId="0" fontId="2" fillId="0" borderId="0" xfId="0" applyFont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10" fillId="0" borderId="2" xfId="0" applyFont="1" applyBorder="1"/>
    <xf numFmtId="0" fontId="10" fillId="0" borderId="3" xfId="0" applyFont="1" applyBorder="1"/>
  </cellXfs>
  <cellStyles count="1">
    <cellStyle name="Normál" xfId="0" builtinId="0"/>
  </cellStyles>
  <dxfs count="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73763"/>
    <outlinePr summaryBelow="0" summaryRight="0"/>
    <pageSetUpPr fitToPage="1"/>
  </sheetPr>
  <dimension ref="A1:AK1025"/>
  <sheetViews>
    <sheetView showGridLines="0" tabSelected="1" workbookViewId="0">
      <pane ySplit="3" topLeftCell="A4" activePane="bottomLeft" state="frozen"/>
      <selection pane="bottomLeft" activeCell="W21" sqref="W21"/>
    </sheetView>
  </sheetViews>
  <sheetFormatPr defaultColWidth="12.6640625" defaultRowHeight="15.75" customHeight="1" x14ac:dyDescent="0.25"/>
  <cols>
    <col min="1" max="1" width="4.21875" customWidth="1"/>
    <col min="2" max="2" width="3.21875" customWidth="1"/>
    <col min="3" max="3" width="22.44140625" customWidth="1"/>
    <col min="4" max="4" width="6.44140625" customWidth="1"/>
    <col min="5" max="16" width="4.109375" customWidth="1"/>
    <col min="17" max="17" width="6.88671875" customWidth="1"/>
    <col min="18" max="18" width="5.88671875" customWidth="1"/>
    <col min="20" max="20" width="8.21875" customWidth="1"/>
    <col min="22" max="22" width="38.109375" customWidth="1"/>
  </cols>
  <sheetData>
    <row r="1" spans="1:37" ht="25.8" x14ac:dyDescent="0.8">
      <c r="A1" s="1" t="s">
        <v>0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7"/>
      <c r="S1" s="8"/>
      <c r="T1" s="8"/>
    </row>
    <row r="2" spans="1:37" ht="16.2" x14ac:dyDescent="0.5">
      <c r="A2" s="9" t="s">
        <v>1</v>
      </c>
      <c r="B2" s="10" t="s">
        <v>2</v>
      </c>
      <c r="C2" s="11"/>
      <c r="D2" s="12" t="s">
        <v>3</v>
      </c>
      <c r="E2" s="12" t="e">
        <f>#REF!</f>
        <v>#REF!</v>
      </c>
      <c r="F2" s="12" t="e">
        <f>#REF!</f>
        <v>#REF!</v>
      </c>
      <c r="G2" s="12" t="e">
        <f>#REF!</f>
        <v>#REF!</v>
      </c>
      <c r="H2" s="12" t="e">
        <f>#REF!</f>
        <v>#REF!</v>
      </c>
      <c r="I2" s="12" t="e">
        <f>#REF!</f>
        <v>#REF!</v>
      </c>
      <c r="J2" s="12" t="e">
        <f>#REF!</f>
        <v>#REF!</v>
      </c>
      <c r="K2" s="12" t="e">
        <f>#REF!</f>
        <v>#REF!</v>
      </c>
      <c r="L2" s="12" t="e">
        <f>#REF!</f>
        <v>#REF!</v>
      </c>
      <c r="M2" s="12" t="e">
        <f>#REF!</f>
        <v>#REF!</v>
      </c>
      <c r="N2" s="12" t="e">
        <f>#REF!</f>
        <v>#REF!</v>
      </c>
      <c r="O2" s="12" t="e">
        <f>#REF!</f>
        <v>#REF!</v>
      </c>
      <c r="P2" s="12" t="e">
        <f>#REF!</f>
        <v>#REF!</v>
      </c>
      <c r="Q2" s="13" t="s">
        <v>4</v>
      </c>
      <c r="R2" s="13" t="s">
        <v>5</v>
      </c>
      <c r="S2" s="14" t="s">
        <v>6</v>
      </c>
      <c r="T2" s="15" t="s">
        <v>7</v>
      </c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13.2" x14ac:dyDescent="0.25">
      <c r="A3" s="17"/>
      <c r="B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  <c r="R3" s="20"/>
      <c r="S3" s="21"/>
      <c r="T3" s="22"/>
    </row>
    <row r="4" spans="1:37" ht="15.6" x14ac:dyDescent="0.25">
      <c r="A4" s="23">
        <v>1</v>
      </c>
      <c r="B4" s="97" t="s">
        <v>8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9"/>
      <c r="R4" s="24"/>
      <c r="S4" s="25">
        <f ca="1">IF(COUNTIFS(R5:R9,"&gt;0") &gt; 3, FLOOR((SUM(R5:R9)-MIN(R5,R6,R7,R8,R9))/4,0.0001), )</f>
        <v>1.5</v>
      </c>
      <c r="T4" s="26">
        <f ca="1">IF(S4=0,"",RANK(S4,$S$4:$S$225,))</f>
        <v>1</v>
      </c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</row>
    <row r="5" spans="1:37" ht="18.75" customHeight="1" x14ac:dyDescent="0.25">
      <c r="A5" s="17"/>
      <c r="B5" s="28">
        <v>1</v>
      </c>
      <c r="C5" s="29" t="s">
        <v>9</v>
      </c>
      <c r="D5" s="30" t="s">
        <v>10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2" t="s">
        <v>11</v>
      </c>
      <c r="R5" s="33">
        <f ca="1">IFERROR(__xludf.DUMMYFUNCTION("IF(REGEXMATCH(Q5,""^\d,\d\d$""),VALUE(Q5),0)"),1.55)</f>
        <v>1.55</v>
      </c>
      <c r="S5" s="21"/>
      <c r="T5" s="22"/>
    </row>
    <row r="6" spans="1:37" ht="18.75" customHeight="1" x14ac:dyDescent="0.25">
      <c r="A6" s="17"/>
      <c r="B6" s="28">
        <v>2</v>
      </c>
      <c r="C6" s="29" t="s">
        <v>12</v>
      </c>
      <c r="D6" s="30" t="s">
        <v>10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2" t="s">
        <v>13</v>
      </c>
      <c r="R6" s="33">
        <f ca="1">IFERROR(__xludf.DUMMYFUNCTION("IF(REGEXMATCH(Q6,""^\d,\d\d$""),VALUE(Q6),0)"),1.5)</f>
        <v>1.5</v>
      </c>
      <c r="S6" s="21"/>
      <c r="T6" s="22"/>
    </row>
    <row r="7" spans="1:37" ht="18.75" customHeight="1" x14ac:dyDescent="0.25">
      <c r="A7" s="17"/>
      <c r="B7" s="28">
        <v>3</v>
      </c>
      <c r="C7" s="29" t="s">
        <v>14</v>
      </c>
      <c r="D7" s="30" t="s">
        <v>15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2" t="s">
        <v>16</v>
      </c>
      <c r="R7" s="33">
        <f ca="1">IFERROR(__xludf.DUMMYFUNCTION("IF(REGEXMATCH(Q7,""^\d,\d\d$""),VALUE(Q7),0)"),1.4)</f>
        <v>1.4</v>
      </c>
      <c r="S7" s="21"/>
      <c r="T7" s="22"/>
    </row>
    <row r="8" spans="1:37" ht="18.75" customHeight="1" x14ac:dyDescent="0.25">
      <c r="A8" s="17"/>
      <c r="B8" s="28">
        <v>4</v>
      </c>
      <c r="C8" s="29" t="s">
        <v>17</v>
      </c>
      <c r="D8" s="30" t="s">
        <v>10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2" t="s">
        <v>11</v>
      </c>
      <c r="R8" s="33">
        <f ca="1">IFERROR(__xludf.DUMMYFUNCTION("IF(REGEXMATCH(Q8,""^\d,\d\d$""),VALUE(Q8),0)"),1.55)</f>
        <v>1.55</v>
      </c>
      <c r="S8" s="21"/>
      <c r="T8" s="22"/>
    </row>
    <row r="9" spans="1:37" ht="18.75" customHeight="1" x14ac:dyDescent="0.25">
      <c r="A9" s="17"/>
      <c r="B9" s="28">
        <v>5</v>
      </c>
      <c r="C9" s="29"/>
      <c r="D9" s="30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2"/>
      <c r="R9" s="33">
        <f ca="1">IFERROR(__xludf.DUMMYFUNCTION("IF(REGEXMATCH(Q9,""^\d,\d\d$""),VALUE(Q9),0)"),0)</f>
        <v>0</v>
      </c>
      <c r="S9" s="21"/>
      <c r="T9" s="22"/>
    </row>
    <row r="10" spans="1:37" ht="13.2" x14ac:dyDescent="0.25">
      <c r="A10" s="34"/>
      <c r="B10" s="35" t="s">
        <v>18</v>
      </c>
      <c r="C10" s="36"/>
      <c r="D10" s="37" t="s">
        <v>19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9"/>
      <c r="R10" s="40"/>
      <c r="S10" s="41"/>
      <c r="T10" s="42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</row>
    <row r="11" spans="1:37" ht="13.2" x14ac:dyDescent="0.25">
      <c r="A11" s="17"/>
      <c r="B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9"/>
      <c r="R11" s="20"/>
      <c r="S11" s="21"/>
      <c r="T11" s="22"/>
    </row>
    <row r="12" spans="1:37" ht="15.6" x14ac:dyDescent="0.25">
      <c r="A12" s="23">
        <v>2</v>
      </c>
      <c r="B12" s="97" t="s">
        <v>20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  <c r="R12" s="24"/>
      <c r="S12" s="25">
        <f ca="1">IF(COUNTIFS(R13:R17,"&gt;0") &gt; 3, FLOOR((SUM(R13:R17)-MIN(R13,R14,R15,R16,R17))/4,0.0001), )</f>
        <v>1.4500000000000002</v>
      </c>
      <c r="T12" s="26">
        <f ca="1">IF(S12=0,"",RANK(S12,$S$4:$S$225,))</f>
        <v>2</v>
      </c>
    </row>
    <row r="13" spans="1:37" ht="18.75" customHeight="1" x14ac:dyDescent="0.25">
      <c r="A13" s="17"/>
      <c r="B13" s="28">
        <v>1</v>
      </c>
      <c r="C13" s="29" t="s">
        <v>21</v>
      </c>
      <c r="D13" s="30" t="s">
        <v>10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2" t="s">
        <v>16</v>
      </c>
      <c r="R13" s="33">
        <f ca="1">IFERROR(__xludf.DUMMYFUNCTION("IF(REGEXMATCH(Q13,""^\d,\d\d$""),VALUE(Q13),0)"),1.4)</f>
        <v>1.4</v>
      </c>
      <c r="S13" s="21"/>
      <c r="T13" s="22"/>
    </row>
    <row r="14" spans="1:37" ht="18.75" customHeight="1" x14ac:dyDescent="0.25">
      <c r="A14" s="17"/>
      <c r="B14" s="28">
        <v>2</v>
      </c>
      <c r="C14" s="29" t="s">
        <v>22</v>
      </c>
      <c r="D14" s="30" t="s">
        <v>10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 t="s">
        <v>23</v>
      </c>
      <c r="R14" s="33">
        <f ca="1">IFERROR(__xludf.DUMMYFUNCTION("IF(REGEXMATCH(Q14,""^\d,\d\d$""),VALUE(Q14),0)"),1.6)</f>
        <v>1.6</v>
      </c>
      <c r="S14" s="21"/>
      <c r="T14" s="22"/>
    </row>
    <row r="15" spans="1:37" ht="18.75" customHeight="1" x14ac:dyDescent="0.25">
      <c r="A15" s="17"/>
      <c r="B15" s="28">
        <v>3</v>
      </c>
      <c r="C15" s="29" t="s">
        <v>24</v>
      </c>
      <c r="D15" s="30" t="s">
        <v>15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2" t="s">
        <v>16</v>
      </c>
      <c r="R15" s="33">
        <f ca="1">IFERROR(__xludf.DUMMYFUNCTION("IF(REGEXMATCH(Q15,""^\d,\d\d$""),VALUE(Q15),0)"),1.4)</f>
        <v>1.4</v>
      </c>
      <c r="S15" s="21"/>
      <c r="T15" s="22"/>
    </row>
    <row r="16" spans="1:37" ht="18.75" customHeight="1" x14ac:dyDescent="0.25">
      <c r="A16" s="17"/>
      <c r="B16" s="28">
        <v>4</v>
      </c>
      <c r="C16" s="29" t="s">
        <v>25</v>
      </c>
      <c r="D16" s="30" t="s">
        <v>15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2" t="s">
        <v>26</v>
      </c>
      <c r="R16" s="33">
        <f ca="1">IFERROR(__xludf.DUMMYFUNCTION("IF(REGEXMATCH(Q16,""^\d,\d\d$""),VALUE(Q16),0)"),1.35)</f>
        <v>1.35</v>
      </c>
      <c r="S16" s="21"/>
      <c r="T16" s="22"/>
    </row>
    <row r="17" spans="1:37" ht="18.75" customHeight="1" x14ac:dyDescent="0.25">
      <c r="A17" s="17"/>
      <c r="B17" s="28">
        <v>5</v>
      </c>
      <c r="C17" s="29" t="s">
        <v>27</v>
      </c>
      <c r="D17" s="30" t="s">
        <v>10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2" t="s">
        <v>16</v>
      </c>
      <c r="R17" s="33">
        <f ca="1">IFERROR(__xludf.DUMMYFUNCTION("IF(REGEXMATCH(Q17,""^\d,\d\d$""),VALUE(Q17),0)"),1.4)</f>
        <v>1.4</v>
      </c>
      <c r="S17" s="21"/>
      <c r="T17" s="22"/>
    </row>
    <row r="18" spans="1:37" ht="13.2" x14ac:dyDescent="0.25">
      <c r="A18" s="34"/>
      <c r="B18" s="35" t="s">
        <v>18</v>
      </c>
      <c r="C18" s="36"/>
      <c r="D18" s="44" t="s">
        <v>28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9"/>
      <c r="R18" s="40"/>
      <c r="S18" s="41"/>
      <c r="T18" s="42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</row>
    <row r="19" spans="1:37" ht="13.2" x14ac:dyDescent="0.25">
      <c r="A19" s="17"/>
      <c r="B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9"/>
      <c r="R19" s="20"/>
      <c r="S19" s="21"/>
      <c r="T19" s="22"/>
    </row>
    <row r="20" spans="1:37" ht="15.6" x14ac:dyDescent="0.25">
      <c r="A20" s="23">
        <v>3</v>
      </c>
      <c r="B20" s="97" t="s">
        <v>29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9"/>
      <c r="R20" s="24"/>
      <c r="S20" s="25">
        <f ca="1">IF(COUNTIFS(R21:R25,"&gt;0") &gt; 3, FLOOR((SUM(R21:R25)-MIN(R21,R22,R23,R24,R25))/4,0.0001), )</f>
        <v>1.3875</v>
      </c>
      <c r="T20" s="26">
        <f ca="1">IF(S20=0,"",RANK(S20,$S$4:$S$225,))</f>
        <v>3</v>
      </c>
      <c r="V20" s="45"/>
    </row>
    <row r="21" spans="1:37" ht="13.2" x14ac:dyDescent="0.25">
      <c r="A21" s="17"/>
      <c r="B21" s="28">
        <v>1</v>
      </c>
      <c r="C21" s="29" t="s">
        <v>30</v>
      </c>
      <c r="D21" s="30" t="s">
        <v>10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 t="s">
        <v>16</v>
      </c>
      <c r="R21" s="33">
        <f ca="1">IFERROR(__xludf.DUMMYFUNCTION("IF(REGEXMATCH(Q21,""^\d,\d\d$""),VALUE(Q21),0)"),1.4)</f>
        <v>1.4</v>
      </c>
      <c r="S21" s="21"/>
      <c r="T21" s="22"/>
    </row>
    <row r="22" spans="1:37" ht="13.2" x14ac:dyDescent="0.25">
      <c r="A22" s="17"/>
      <c r="B22" s="28">
        <v>2</v>
      </c>
      <c r="C22" s="29" t="s">
        <v>31</v>
      </c>
      <c r="D22" s="30" t="s">
        <v>10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2" t="s">
        <v>16</v>
      </c>
      <c r="R22" s="33">
        <f ca="1">IFERROR(__xludf.DUMMYFUNCTION("IF(REGEXMATCH(Q22,""^\d,\d\d$""),VALUE(Q22),0)"),1.4)</f>
        <v>1.4</v>
      </c>
      <c r="S22" s="21"/>
      <c r="T22" s="22"/>
    </row>
    <row r="23" spans="1:37" ht="13.2" x14ac:dyDescent="0.25">
      <c r="A23" s="17"/>
      <c r="B23" s="28">
        <v>3</v>
      </c>
      <c r="C23" s="29" t="s">
        <v>32</v>
      </c>
      <c r="D23" s="30" t="s">
        <v>10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2" t="s">
        <v>26</v>
      </c>
      <c r="R23" s="33">
        <f ca="1">IFERROR(__xludf.DUMMYFUNCTION("IF(REGEXMATCH(Q23,""^\d,\d\d$""),VALUE(Q23),0)"),1.35)</f>
        <v>1.35</v>
      </c>
      <c r="S23" s="21"/>
      <c r="T23" s="22"/>
    </row>
    <row r="24" spans="1:37" ht="13.2" x14ac:dyDescent="0.25">
      <c r="A24" s="17"/>
      <c r="B24" s="28">
        <v>4</v>
      </c>
      <c r="C24" s="29" t="s">
        <v>33</v>
      </c>
      <c r="D24" s="30" t="s">
        <v>15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2" t="s">
        <v>34</v>
      </c>
      <c r="R24" s="33">
        <f ca="1">IFERROR(__xludf.DUMMYFUNCTION("IF(REGEXMATCH(Q24,""^\d,\d\d$""),VALUE(Q24),0)"),1.3)</f>
        <v>1.3</v>
      </c>
      <c r="S24" s="21"/>
      <c r="T24" s="22"/>
    </row>
    <row r="25" spans="1:37" ht="13.2" x14ac:dyDescent="0.25">
      <c r="A25" s="17"/>
      <c r="B25" s="28">
        <v>5</v>
      </c>
      <c r="C25" s="29" t="s">
        <v>35</v>
      </c>
      <c r="D25" s="30" t="s">
        <v>10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 t="s">
        <v>16</v>
      </c>
      <c r="R25" s="33">
        <f ca="1">IFERROR(__xludf.DUMMYFUNCTION("IF(REGEXMATCH(Q25,""^\d,\d\d$""),VALUE(Q25),0)"),1.4)</f>
        <v>1.4</v>
      </c>
      <c r="S25" s="21"/>
      <c r="T25" s="22"/>
    </row>
    <row r="26" spans="1:37" ht="13.2" x14ac:dyDescent="0.25">
      <c r="A26" s="34"/>
      <c r="B26" s="35" t="s">
        <v>18</v>
      </c>
      <c r="C26" s="36"/>
      <c r="D26" s="44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9"/>
      <c r="R26" s="40"/>
      <c r="S26" s="41"/>
      <c r="T26" s="42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</row>
    <row r="27" spans="1:37" ht="13.2" x14ac:dyDescent="0.25">
      <c r="A27" s="17"/>
      <c r="B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9"/>
      <c r="R27" s="20"/>
      <c r="S27" s="21"/>
      <c r="T27" s="22"/>
    </row>
    <row r="28" spans="1:37" ht="15.6" x14ac:dyDescent="0.25">
      <c r="A28" s="23">
        <v>4</v>
      </c>
      <c r="B28" s="97" t="s">
        <v>37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9"/>
      <c r="R28" s="24"/>
      <c r="S28" s="25">
        <f ca="1">IF(COUNTIFS(R29:R33,"&gt;0") &gt; 3, FLOOR((SUM(R29:R33)-MIN(R29,R30,R31,R32,R33))/4,0.0001), )</f>
        <v>1.3625</v>
      </c>
      <c r="T28" s="26">
        <f ca="1">IF(S28=0,"",RANK(S28,$S$4:$S$225,))</f>
        <v>4</v>
      </c>
    </row>
    <row r="29" spans="1:37" ht="13.2" x14ac:dyDescent="0.25">
      <c r="A29" s="17"/>
      <c r="B29" s="28">
        <v>1</v>
      </c>
      <c r="C29" s="29" t="s">
        <v>38</v>
      </c>
      <c r="D29" s="30" t="s">
        <v>10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 t="s">
        <v>26</v>
      </c>
      <c r="R29" s="33">
        <f ca="1">IFERROR(__xludf.DUMMYFUNCTION("IF(REGEXMATCH(Q29,""^\d,\d\d$""),VALUE(Q29),0)"),1.35)</f>
        <v>1.35</v>
      </c>
      <c r="S29" s="21"/>
      <c r="T29" s="22"/>
    </row>
    <row r="30" spans="1:37" ht="13.2" x14ac:dyDescent="0.25">
      <c r="A30" s="17"/>
      <c r="B30" s="28">
        <v>2</v>
      </c>
      <c r="C30" s="29" t="s">
        <v>39</v>
      </c>
      <c r="D30" s="30" t="s">
        <v>15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2" t="s">
        <v>26</v>
      </c>
      <c r="R30" s="33">
        <f ca="1">IFERROR(__xludf.DUMMYFUNCTION("IF(REGEXMATCH(Q30,""^\d,\d\d$""),VALUE(Q30),0)"),1.35)</f>
        <v>1.35</v>
      </c>
      <c r="S30" s="21"/>
      <c r="T30" s="22"/>
    </row>
    <row r="31" spans="1:37" ht="13.2" x14ac:dyDescent="0.25">
      <c r="A31" s="17"/>
      <c r="B31" s="28">
        <v>3</v>
      </c>
      <c r="C31" s="29" t="s">
        <v>40</v>
      </c>
      <c r="D31" s="30" t="s">
        <v>41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2" t="s">
        <v>16</v>
      </c>
      <c r="R31" s="33">
        <f ca="1">IFERROR(__xludf.DUMMYFUNCTION("IF(REGEXMATCH(Q31,""^\d,\d\d$""),VALUE(Q31),0)"),1.4)</f>
        <v>1.4</v>
      </c>
      <c r="S31" s="21"/>
      <c r="T31" s="22"/>
    </row>
    <row r="32" spans="1:37" ht="13.2" x14ac:dyDescent="0.25">
      <c r="A32" s="17"/>
      <c r="B32" s="28">
        <v>4</v>
      </c>
      <c r="C32" s="29" t="s">
        <v>42</v>
      </c>
      <c r="D32" s="30" t="s">
        <v>15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 t="s">
        <v>26</v>
      </c>
      <c r="R32" s="33">
        <f ca="1">IFERROR(__xludf.DUMMYFUNCTION("IF(REGEXMATCH(Q32,""^\d,\d\d$""),VALUE(Q32),0)"),1.35)</f>
        <v>1.35</v>
      </c>
      <c r="S32" s="21"/>
      <c r="T32" s="22"/>
    </row>
    <row r="33" spans="1:37" ht="13.2" x14ac:dyDescent="0.25">
      <c r="A33" s="17"/>
      <c r="B33" s="28">
        <v>5</v>
      </c>
      <c r="C33" s="29" t="s">
        <v>43</v>
      </c>
      <c r="D33" s="30" t="s">
        <v>41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2" t="s">
        <v>44</v>
      </c>
      <c r="R33" s="33">
        <f ca="1">IFERROR(__xludf.DUMMYFUNCTION("IF(REGEXMATCH(Q33,""^\d,\d\d$""),VALUE(Q33),0)"),1.25)</f>
        <v>1.25</v>
      </c>
      <c r="S33" s="21"/>
      <c r="T33" s="22"/>
    </row>
    <row r="34" spans="1:37" ht="13.2" x14ac:dyDescent="0.25">
      <c r="A34" s="34"/>
      <c r="B34" s="35" t="s">
        <v>18</v>
      </c>
      <c r="C34" s="36"/>
      <c r="D34" s="44" t="s">
        <v>45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9"/>
      <c r="R34" s="40"/>
      <c r="S34" s="41"/>
      <c r="T34" s="42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</row>
    <row r="35" spans="1:37" ht="13.2" x14ac:dyDescent="0.25">
      <c r="A35" s="17"/>
      <c r="B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/>
      <c r="R35" s="20"/>
      <c r="S35" s="21"/>
      <c r="T35" s="22"/>
    </row>
    <row r="36" spans="1:37" ht="15.6" x14ac:dyDescent="0.25">
      <c r="A36" s="23">
        <v>5</v>
      </c>
      <c r="B36" s="97" t="s">
        <v>46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9"/>
      <c r="R36" s="24"/>
      <c r="S36" s="25">
        <f ca="1">IF(COUNTIFS(R37:R41,"&gt;0") &gt; 3, FLOOR((SUM(R37:R41)-MIN(R37,R38,R39,R40,R41))/4,0.0001), )</f>
        <v>1.3</v>
      </c>
      <c r="T36" s="26">
        <f ca="1">IF(S36=0,"",RANK(S36,$S$4:$S$225,))</f>
        <v>5</v>
      </c>
    </row>
    <row r="37" spans="1:37" ht="13.2" x14ac:dyDescent="0.25">
      <c r="A37" s="17"/>
      <c r="B37" s="28">
        <v>1</v>
      </c>
      <c r="C37" s="29" t="s">
        <v>47</v>
      </c>
      <c r="D37" s="30" t="s">
        <v>10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2" t="s">
        <v>34</v>
      </c>
      <c r="R37" s="33">
        <f ca="1">IFERROR(__xludf.DUMMYFUNCTION("IF(REGEXMATCH(Q37,""^\d,\d\d$""),VALUE(Q37),0)"),1.3)</f>
        <v>1.3</v>
      </c>
      <c r="S37" s="21"/>
      <c r="T37" s="22"/>
    </row>
    <row r="38" spans="1:37" ht="13.2" x14ac:dyDescent="0.25">
      <c r="A38" s="17"/>
      <c r="B38" s="28">
        <v>2</v>
      </c>
      <c r="C38" s="29" t="s">
        <v>48</v>
      </c>
      <c r="D38" s="30" t="s">
        <v>10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2" t="s">
        <v>16</v>
      </c>
      <c r="R38" s="33">
        <f ca="1">IFERROR(__xludf.DUMMYFUNCTION("IF(REGEXMATCH(Q38,""^\d,\d\d$""),VALUE(Q38),0)"),1.4)</f>
        <v>1.4</v>
      </c>
      <c r="S38" s="21"/>
      <c r="T38" s="22"/>
    </row>
    <row r="39" spans="1:37" ht="13.2" x14ac:dyDescent="0.25">
      <c r="A39" s="17"/>
      <c r="B39" s="28">
        <v>3</v>
      </c>
      <c r="C39" s="29" t="s">
        <v>49</v>
      </c>
      <c r="D39" s="30" t="s">
        <v>15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 t="s">
        <v>50</v>
      </c>
      <c r="R39" s="33">
        <f ca="1">IFERROR(__xludf.DUMMYFUNCTION("IF(REGEXMATCH(Q39,""^\d,\d\d$""),VALUE(Q39),0)"),1.2)</f>
        <v>1.2</v>
      </c>
      <c r="S39" s="21"/>
      <c r="T39" s="22"/>
    </row>
    <row r="40" spans="1:37" ht="13.2" x14ac:dyDescent="0.25">
      <c r="A40" s="17"/>
      <c r="B40" s="28">
        <v>4</v>
      </c>
      <c r="C40" s="29" t="s">
        <v>51</v>
      </c>
      <c r="D40" s="30" t="s">
        <v>15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2" t="s">
        <v>44</v>
      </c>
      <c r="R40" s="33">
        <f ca="1">IFERROR(__xludf.DUMMYFUNCTION("IF(REGEXMATCH(Q40,""^\d,\d\d$""),VALUE(Q40),0)"),1.25)</f>
        <v>1.25</v>
      </c>
      <c r="S40" s="21"/>
      <c r="T40" s="22"/>
    </row>
    <row r="41" spans="1:37" ht="13.2" x14ac:dyDescent="0.25">
      <c r="A41" s="17"/>
      <c r="B41" s="28">
        <v>5</v>
      </c>
      <c r="C41" s="29" t="s">
        <v>52</v>
      </c>
      <c r="D41" s="30" t="s">
        <v>15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2" t="s">
        <v>44</v>
      </c>
      <c r="R41" s="33">
        <f ca="1">IFERROR(__xludf.DUMMYFUNCTION("IF(REGEXMATCH(Q41,""^\d,\d\d$""),VALUE(Q41),0)"),1.25)</f>
        <v>1.25</v>
      </c>
      <c r="S41" s="21"/>
      <c r="T41" s="22"/>
    </row>
    <row r="42" spans="1:37" ht="13.2" x14ac:dyDescent="0.25">
      <c r="A42" s="34"/>
      <c r="B42" s="35" t="s">
        <v>18</v>
      </c>
      <c r="C42" s="36"/>
      <c r="D42" s="44" t="s">
        <v>53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9"/>
      <c r="R42" s="40"/>
      <c r="S42" s="41"/>
      <c r="T42" s="42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</row>
    <row r="43" spans="1:37" ht="13.2" x14ac:dyDescent="0.25">
      <c r="A43" s="17"/>
      <c r="B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21"/>
      <c r="T43" s="22"/>
    </row>
    <row r="44" spans="1:37" ht="15.6" x14ac:dyDescent="0.25">
      <c r="A44" s="23">
        <v>6</v>
      </c>
      <c r="B44" s="97" t="s">
        <v>54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9"/>
      <c r="R44" s="24"/>
      <c r="S44" s="25">
        <f ca="1">IF(COUNTIFS(R45:R49,"&gt;0") &gt; 3, FLOOR((SUM(R45:R49)-MIN(R45,R46,R47,R48,R49))/4,0.0001), )</f>
        <v>1.25</v>
      </c>
      <c r="T44" s="26">
        <f ca="1">IF(S44=0,"",RANK(S44,$S$4:$S$225,))</f>
        <v>6</v>
      </c>
    </row>
    <row r="45" spans="1:37" ht="13.2" x14ac:dyDescent="0.25">
      <c r="A45" s="17"/>
      <c r="B45" s="28">
        <v>1</v>
      </c>
      <c r="C45" s="29" t="s">
        <v>55</v>
      </c>
      <c r="D45" s="30" t="s">
        <v>41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2" t="s">
        <v>26</v>
      </c>
      <c r="R45" s="33">
        <f ca="1">IFERROR(__xludf.DUMMYFUNCTION("IF(REGEXMATCH(Q45,""^\d,\d\d$""),VALUE(Q45),0)"),1.35)</f>
        <v>1.35</v>
      </c>
      <c r="S45" s="21"/>
      <c r="T45" s="22"/>
    </row>
    <row r="46" spans="1:37" ht="13.2" x14ac:dyDescent="0.25">
      <c r="A46" s="17"/>
      <c r="B46" s="28">
        <v>2</v>
      </c>
      <c r="C46" s="29" t="s">
        <v>56</v>
      </c>
      <c r="D46" s="30" t="s">
        <v>41</v>
      </c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2" t="s">
        <v>50</v>
      </c>
      <c r="R46" s="33">
        <f ca="1">IFERROR(__xludf.DUMMYFUNCTION("IF(REGEXMATCH(Q46,""^\d,\d\d$""),VALUE(Q46),0)"),1.2)</f>
        <v>1.2</v>
      </c>
      <c r="S46" s="21"/>
      <c r="T46" s="22"/>
    </row>
    <row r="47" spans="1:37" ht="13.2" x14ac:dyDescent="0.25">
      <c r="A47" s="17"/>
      <c r="B47" s="28">
        <v>3</v>
      </c>
      <c r="C47" s="29" t="s">
        <v>57</v>
      </c>
      <c r="D47" s="30" t="s">
        <v>10</v>
      </c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2" t="s">
        <v>58</v>
      </c>
      <c r="R47" s="33">
        <f ca="1">IFERROR(__xludf.DUMMYFUNCTION("IF(REGEXMATCH(Q47,""^\d,\d\d$""),VALUE(Q47),0)"),0)</f>
        <v>0</v>
      </c>
      <c r="S47" s="21"/>
      <c r="T47" s="22"/>
    </row>
    <row r="48" spans="1:37" ht="13.2" x14ac:dyDescent="0.25">
      <c r="A48" s="17"/>
      <c r="B48" s="28">
        <v>4</v>
      </c>
      <c r="C48" s="29" t="s">
        <v>59</v>
      </c>
      <c r="D48" s="30" t="s">
        <v>15</v>
      </c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2" t="s">
        <v>50</v>
      </c>
      <c r="R48" s="33">
        <f ca="1">IFERROR(__xludf.DUMMYFUNCTION("IF(REGEXMATCH(Q48,""^\d,\d\d$""),VALUE(Q48),0)"),1.2)</f>
        <v>1.2</v>
      </c>
      <c r="S48" s="21"/>
      <c r="T48" s="22"/>
    </row>
    <row r="49" spans="1:37" ht="13.2" x14ac:dyDescent="0.25">
      <c r="A49" s="17"/>
      <c r="B49" s="28">
        <v>5</v>
      </c>
      <c r="C49" s="29" t="s">
        <v>60</v>
      </c>
      <c r="D49" s="30" t="s">
        <v>10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2" t="s">
        <v>44</v>
      </c>
      <c r="R49" s="33">
        <f ca="1">IFERROR(__xludf.DUMMYFUNCTION("IF(REGEXMATCH(Q49,""^\d,\d\d$""),VALUE(Q49),0)"),1.25)</f>
        <v>1.25</v>
      </c>
      <c r="S49" s="21"/>
      <c r="T49" s="22"/>
    </row>
    <row r="50" spans="1:37" ht="13.2" x14ac:dyDescent="0.25">
      <c r="A50" s="34"/>
      <c r="B50" s="35" t="s">
        <v>18</v>
      </c>
      <c r="C50" s="36"/>
      <c r="D50" s="44" t="s">
        <v>61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9"/>
      <c r="R50" s="40"/>
      <c r="S50" s="41"/>
      <c r="T50" s="42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</row>
    <row r="51" spans="1:37" ht="13.2" x14ac:dyDescent="0.25">
      <c r="A51" s="17"/>
      <c r="B51" s="17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9"/>
      <c r="R51" s="20"/>
      <c r="S51" s="21"/>
      <c r="T51" s="22"/>
    </row>
    <row r="52" spans="1:37" ht="15.6" x14ac:dyDescent="0.25">
      <c r="A52" s="23">
        <v>7</v>
      </c>
      <c r="B52" s="97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9"/>
      <c r="R52" s="24"/>
      <c r="S52" s="25">
        <f ca="1">IF(COUNTIFS(R53:R57,"&gt;0") &gt; 3, FLOOR((SUM(R53:R57)-MIN(R53,R54,R55,R56,R57))/4,0.0001), )</f>
        <v>0</v>
      </c>
      <c r="T52" s="26" t="str">
        <f ca="1">IF(S52=0,"",RANK(S52,$S$4:$S$225,))</f>
        <v/>
      </c>
    </row>
    <row r="53" spans="1:37" ht="13.2" x14ac:dyDescent="0.25">
      <c r="A53" s="17"/>
      <c r="B53" s="28">
        <v>1</v>
      </c>
      <c r="C53" s="29"/>
      <c r="D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2"/>
      <c r="R53" s="33">
        <f ca="1">IFERROR(__xludf.DUMMYFUNCTION("IF(REGEXMATCH(Q53,""^\d,\d\d$""),VALUE(Q53),0)"),0)</f>
        <v>0</v>
      </c>
      <c r="S53" s="21"/>
      <c r="T53" s="22"/>
    </row>
    <row r="54" spans="1:37" ht="13.2" x14ac:dyDescent="0.25">
      <c r="A54" s="17"/>
      <c r="B54" s="28">
        <v>2</v>
      </c>
      <c r="C54" s="29"/>
      <c r="D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2"/>
      <c r="R54" s="33">
        <f ca="1">IFERROR(__xludf.DUMMYFUNCTION("IF(REGEXMATCH(Q54,""^\d,\d\d$""),VALUE(Q54),0)"),0)</f>
        <v>0</v>
      </c>
      <c r="S54" s="21"/>
      <c r="T54" s="22"/>
    </row>
    <row r="55" spans="1:37" ht="13.2" x14ac:dyDescent="0.25">
      <c r="A55" s="17"/>
      <c r="B55" s="28">
        <v>3</v>
      </c>
      <c r="C55" s="29"/>
      <c r="D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2"/>
      <c r="R55" s="33">
        <f ca="1">IFERROR(__xludf.DUMMYFUNCTION("IF(REGEXMATCH(Q55,""^\d,\d\d$""),VALUE(Q55),0)"),0)</f>
        <v>0</v>
      </c>
      <c r="S55" s="21"/>
      <c r="T55" s="22"/>
    </row>
    <row r="56" spans="1:37" ht="13.2" x14ac:dyDescent="0.25">
      <c r="A56" s="17"/>
      <c r="B56" s="28">
        <v>4</v>
      </c>
      <c r="C56" s="29"/>
      <c r="D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2"/>
      <c r="R56" s="33">
        <f ca="1">IFERROR(__xludf.DUMMYFUNCTION("IF(REGEXMATCH(Q56,""^\d,\d\d$""),VALUE(Q56),0)"),0)</f>
        <v>0</v>
      </c>
      <c r="S56" s="21"/>
      <c r="T56" s="22"/>
    </row>
    <row r="57" spans="1:37" ht="13.2" x14ac:dyDescent="0.25">
      <c r="A57" s="17"/>
      <c r="B57" s="28">
        <v>5</v>
      </c>
      <c r="C57" s="29"/>
      <c r="D57" s="3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2"/>
      <c r="R57" s="33">
        <f ca="1">IFERROR(__xludf.DUMMYFUNCTION("IF(REGEXMATCH(Q57,""^\d,\d\d$""),VALUE(Q57),0)"),0)</f>
        <v>0</v>
      </c>
      <c r="S57" s="21"/>
      <c r="T57" s="22"/>
    </row>
    <row r="58" spans="1:37" ht="13.2" x14ac:dyDescent="0.25">
      <c r="A58" s="34"/>
      <c r="B58" s="35" t="s">
        <v>18</v>
      </c>
      <c r="C58" s="36"/>
      <c r="D58" s="44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9"/>
      <c r="R58" s="40"/>
      <c r="S58" s="41"/>
      <c r="T58" s="42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</row>
    <row r="59" spans="1:37" ht="13.2" x14ac:dyDescent="0.25">
      <c r="A59" s="17"/>
      <c r="B59" s="17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9"/>
      <c r="R59" s="20"/>
      <c r="S59" s="21"/>
      <c r="T59" s="22"/>
    </row>
    <row r="60" spans="1:37" ht="15.6" x14ac:dyDescent="0.25">
      <c r="A60" s="23">
        <v>8</v>
      </c>
      <c r="B60" s="97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9"/>
      <c r="R60" s="24"/>
      <c r="S60" s="25">
        <f ca="1">IF(COUNTIFS(R61:R65,"&gt;0") &gt; 3, FLOOR((SUM(R61:R65)-MIN(R61,R62,R63,R64,R65))/4,0.0001), )</f>
        <v>0</v>
      </c>
      <c r="T60" s="26" t="str">
        <f ca="1">IF(S60=0,"",RANK(S60,$S$4:$S$225,))</f>
        <v/>
      </c>
    </row>
    <row r="61" spans="1:37" ht="13.2" x14ac:dyDescent="0.25">
      <c r="A61" s="17"/>
      <c r="B61" s="28">
        <v>1</v>
      </c>
      <c r="C61" s="29"/>
      <c r="D61" s="30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2"/>
      <c r="R61" s="33">
        <f ca="1">IFERROR(__xludf.DUMMYFUNCTION("IF(REGEXMATCH(Q61,""^\d,\d\d$""),VALUE(Q61),0)"),0)</f>
        <v>0</v>
      </c>
      <c r="S61" s="21"/>
      <c r="T61" s="22"/>
    </row>
    <row r="62" spans="1:37" ht="13.2" x14ac:dyDescent="0.25">
      <c r="A62" s="17"/>
      <c r="B62" s="28">
        <v>2</v>
      </c>
      <c r="C62" s="29"/>
      <c r="D62" s="30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2"/>
      <c r="R62" s="33">
        <f ca="1">IFERROR(__xludf.DUMMYFUNCTION("IF(REGEXMATCH(Q62,""^\d,\d\d$""),VALUE(Q62),0)"),0)</f>
        <v>0</v>
      </c>
      <c r="S62" s="21"/>
      <c r="T62" s="22"/>
    </row>
    <row r="63" spans="1:37" ht="13.2" x14ac:dyDescent="0.25">
      <c r="A63" s="17"/>
      <c r="B63" s="28">
        <v>3</v>
      </c>
      <c r="C63" s="29"/>
      <c r="D63" s="30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2"/>
      <c r="R63" s="33">
        <f ca="1">IFERROR(__xludf.DUMMYFUNCTION("IF(REGEXMATCH(Q63,""^\d,\d\d$""),VALUE(Q63),0)"),0)</f>
        <v>0</v>
      </c>
      <c r="S63" s="21"/>
      <c r="T63" s="22"/>
    </row>
    <row r="64" spans="1:37" ht="13.2" x14ac:dyDescent="0.25">
      <c r="A64" s="17"/>
      <c r="B64" s="28">
        <v>4</v>
      </c>
      <c r="C64" s="29"/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2"/>
      <c r="R64" s="33">
        <f ca="1">IFERROR(__xludf.DUMMYFUNCTION("IF(REGEXMATCH(Q64,""^\d,\d\d$""),VALUE(Q64),0)"),0)</f>
        <v>0</v>
      </c>
      <c r="S64" s="21"/>
      <c r="T64" s="22"/>
    </row>
    <row r="65" spans="1:37" ht="13.2" x14ac:dyDescent="0.25">
      <c r="A65" s="17"/>
      <c r="B65" s="28">
        <v>5</v>
      </c>
      <c r="C65" s="29"/>
      <c r="D65" s="30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2"/>
      <c r="R65" s="33">
        <f ca="1">IFERROR(__xludf.DUMMYFUNCTION("IF(REGEXMATCH(Q65,""^\d,\d\d$""),VALUE(Q65),0)"),0)</f>
        <v>0</v>
      </c>
      <c r="S65" s="21"/>
      <c r="T65" s="22"/>
    </row>
    <row r="66" spans="1:37" ht="13.2" x14ac:dyDescent="0.25">
      <c r="A66" s="34"/>
      <c r="B66" s="35" t="s">
        <v>18</v>
      </c>
      <c r="C66" s="36"/>
      <c r="D66" s="44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9"/>
      <c r="R66" s="40"/>
      <c r="S66" s="41"/>
      <c r="T66" s="42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</row>
    <row r="67" spans="1:37" ht="13.2" x14ac:dyDescent="0.25">
      <c r="A67" s="17"/>
      <c r="B67" s="17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9"/>
      <c r="R67" s="20"/>
      <c r="S67" s="21"/>
      <c r="T67" s="22"/>
    </row>
    <row r="68" spans="1:37" ht="15.6" x14ac:dyDescent="0.25">
      <c r="A68" s="23">
        <v>9</v>
      </c>
      <c r="B68" s="97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9"/>
      <c r="R68" s="24"/>
      <c r="S68" s="25">
        <f ca="1">IF(COUNTIFS(R69:R73,"&gt;0") &gt; 3, FLOOR((SUM(R69:R73)-MIN(R69,R70,R71,R72,R73))/4,0.0001), )</f>
        <v>0</v>
      </c>
      <c r="T68" s="26" t="str">
        <f ca="1">IF(S68=0,"",RANK(S68,$S$4:$S$225,))</f>
        <v/>
      </c>
    </row>
    <row r="69" spans="1:37" ht="13.2" x14ac:dyDescent="0.25">
      <c r="A69" s="17"/>
      <c r="B69" s="28">
        <v>1</v>
      </c>
      <c r="C69" s="29"/>
      <c r="D69" s="30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2"/>
      <c r="R69" s="33">
        <f ca="1">IFERROR(__xludf.DUMMYFUNCTION("IF(REGEXMATCH(Q69,""^\d,\d\d$""),VALUE(Q69),0)"),0)</f>
        <v>0</v>
      </c>
      <c r="S69" s="21"/>
      <c r="T69" s="22"/>
    </row>
    <row r="70" spans="1:37" ht="13.2" x14ac:dyDescent="0.25">
      <c r="A70" s="17"/>
      <c r="B70" s="28">
        <v>2</v>
      </c>
      <c r="C70" s="29"/>
      <c r="D70" s="30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2"/>
      <c r="R70" s="33">
        <f ca="1">IFERROR(__xludf.DUMMYFUNCTION("IF(REGEXMATCH(Q70,""^\d,\d\d$""),VALUE(Q70),0)"),0)</f>
        <v>0</v>
      </c>
      <c r="S70" s="21"/>
      <c r="T70" s="22"/>
    </row>
    <row r="71" spans="1:37" ht="13.2" x14ac:dyDescent="0.25">
      <c r="A71" s="17"/>
      <c r="B71" s="28">
        <v>3</v>
      </c>
      <c r="C71" s="29"/>
      <c r="D71" s="30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2"/>
      <c r="R71" s="33">
        <f ca="1">IFERROR(__xludf.DUMMYFUNCTION("IF(REGEXMATCH(Q71,""^\d,\d\d$""),VALUE(Q71),0)"),0)</f>
        <v>0</v>
      </c>
      <c r="S71" s="21"/>
      <c r="T71" s="22"/>
    </row>
    <row r="72" spans="1:37" ht="13.2" x14ac:dyDescent="0.25">
      <c r="A72" s="17"/>
      <c r="B72" s="28">
        <v>4</v>
      </c>
      <c r="C72" s="29"/>
      <c r="D72" s="30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2"/>
      <c r="R72" s="33">
        <f ca="1">IFERROR(__xludf.DUMMYFUNCTION("IF(REGEXMATCH(Q72,""^\d,\d\d$""),VALUE(Q72),0)"),0)</f>
        <v>0</v>
      </c>
      <c r="S72" s="21"/>
      <c r="T72" s="22"/>
    </row>
    <row r="73" spans="1:37" ht="13.2" x14ac:dyDescent="0.25">
      <c r="A73" s="17"/>
      <c r="B73" s="28">
        <v>5</v>
      </c>
      <c r="C73" s="29"/>
      <c r="D73" s="30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2"/>
      <c r="R73" s="33">
        <f ca="1">IFERROR(__xludf.DUMMYFUNCTION("IF(REGEXMATCH(Q73,""^\d,\d\d$""),VALUE(Q73),0)"),0)</f>
        <v>0</v>
      </c>
      <c r="S73" s="21"/>
      <c r="T73" s="22"/>
    </row>
    <row r="74" spans="1:37" ht="13.2" x14ac:dyDescent="0.25">
      <c r="A74" s="34"/>
      <c r="B74" s="35" t="s">
        <v>18</v>
      </c>
      <c r="C74" s="36"/>
      <c r="D74" s="44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9"/>
      <c r="R74" s="40"/>
      <c r="S74" s="41"/>
      <c r="T74" s="42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</row>
    <row r="75" spans="1:37" ht="13.2" x14ac:dyDescent="0.25">
      <c r="A75" s="17"/>
      <c r="B75" s="17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9"/>
      <c r="R75" s="20"/>
      <c r="S75" s="21"/>
      <c r="T75" s="22"/>
    </row>
    <row r="76" spans="1:37" ht="15.6" x14ac:dyDescent="0.25">
      <c r="A76" s="23">
        <v>10</v>
      </c>
      <c r="B76" s="97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9"/>
      <c r="R76" s="24"/>
      <c r="S76" s="25">
        <f ca="1">IF(COUNTIFS(R77:R81,"&gt;0") &gt; 3, FLOOR((SUM(R77:R81)-MIN(R77,R78,R79,R80,R81))/4,0.0001), )</f>
        <v>0</v>
      </c>
      <c r="T76" s="26" t="str">
        <f ca="1">IF(S76=0,"",RANK(S76,$S$4:$S$225,))</f>
        <v/>
      </c>
    </row>
    <row r="77" spans="1:37" ht="13.2" x14ac:dyDescent="0.25">
      <c r="A77" s="17"/>
      <c r="B77" s="28">
        <v>1</v>
      </c>
      <c r="C77" s="29"/>
      <c r="D77" s="30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2"/>
      <c r="R77" s="33">
        <f ca="1">IFERROR(__xludf.DUMMYFUNCTION("IF(REGEXMATCH(Q77,""^\d,\d\d$""),VALUE(Q77),0)"),0)</f>
        <v>0</v>
      </c>
      <c r="S77" s="21"/>
      <c r="T77" s="22"/>
    </row>
    <row r="78" spans="1:37" ht="13.2" x14ac:dyDescent="0.25">
      <c r="A78" s="17"/>
      <c r="B78" s="28">
        <v>2</v>
      </c>
      <c r="C78" s="29"/>
      <c r="D78" s="30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2"/>
      <c r="R78" s="33">
        <f ca="1">IFERROR(__xludf.DUMMYFUNCTION("IF(REGEXMATCH(Q78,""^\d,\d\d$""),VALUE(Q78),0)"),0)</f>
        <v>0</v>
      </c>
      <c r="S78" s="21"/>
      <c r="T78" s="22"/>
    </row>
    <row r="79" spans="1:37" ht="13.2" x14ac:dyDescent="0.25">
      <c r="A79" s="17"/>
      <c r="B79" s="28">
        <v>3</v>
      </c>
      <c r="C79" s="29"/>
      <c r="D79" s="30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2"/>
      <c r="R79" s="33">
        <f ca="1">IFERROR(__xludf.DUMMYFUNCTION("IF(REGEXMATCH(Q79,""^\d,\d\d$""),VALUE(Q79),0)"),0)</f>
        <v>0</v>
      </c>
      <c r="S79" s="21"/>
      <c r="T79" s="22"/>
    </row>
    <row r="80" spans="1:37" ht="13.2" x14ac:dyDescent="0.25">
      <c r="A80" s="17"/>
      <c r="B80" s="28">
        <v>4</v>
      </c>
      <c r="C80" s="29"/>
      <c r="D80" s="30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2"/>
      <c r="R80" s="33">
        <f ca="1">IFERROR(__xludf.DUMMYFUNCTION("IF(REGEXMATCH(Q80,""^\d,\d\d$""),VALUE(Q80),0)"),0)</f>
        <v>0</v>
      </c>
      <c r="S80" s="21"/>
      <c r="T80" s="22"/>
    </row>
    <row r="81" spans="1:37" ht="13.2" x14ac:dyDescent="0.25">
      <c r="A81" s="17"/>
      <c r="B81" s="28">
        <v>5</v>
      </c>
      <c r="C81" s="29"/>
      <c r="D81" s="30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2"/>
      <c r="R81" s="33">
        <f ca="1">IFERROR(__xludf.DUMMYFUNCTION("IF(REGEXMATCH(Q81,""^\d,\d\d$""),VALUE(Q81),0)"),0)</f>
        <v>0</v>
      </c>
      <c r="S81" s="21"/>
      <c r="T81" s="22"/>
    </row>
    <row r="82" spans="1:37" ht="13.2" x14ac:dyDescent="0.25">
      <c r="A82" s="34"/>
      <c r="B82" s="35" t="s">
        <v>18</v>
      </c>
      <c r="C82" s="36"/>
      <c r="D82" s="44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9"/>
      <c r="R82" s="40"/>
      <c r="S82" s="41"/>
      <c r="T82" s="42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</row>
    <row r="83" spans="1:37" ht="13.2" x14ac:dyDescent="0.25">
      <c r="A83" s="17"/>
      <c r="B83" s="17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9"/>
      <c r="R83" s="20"/>
      <c r="S83" s="21"/>
      <c r="T83" s="22"/>
    </row>
    <row r="84" spans="1:37" ht="15.6" x14ac:dyDescent="0.25">
      <c r="A84" s="23">
        <v>11</v>
      </c>
      <c r="B84" s="97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9"/>
      <c r="R84" s="24"/>
      <c r="S84" s="25">
        <f ca="1">IF(COUNTIFS(R85:R89,"&gt;0") &gt; 3, FLOOR((SUM(R85:R89)-MIN(R85,R86,R87,R88,R89))/4,0.0001), )</f>
        <v>0</v>
      </c>
      <c r="T84" s="26" t="str">
        <f ca="1">IF(S84=0,"",RANK(S84,$S$4:$S$225,))</f>
        <v/>
      </c>
    </row>
    <row r="85" spans="1:37" ht="13.2" x14ac:dyDescent="0.25">
      <c r="A85" s="17"/>
      <c r="B85" s="28">
        <v>1</v>
      </c>
      <c r="C85" s="29"/>
      <c r="D85" s="30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2"/>
      <c r="R85" s="33">
        <f ca="1">IFERROR(__xludf.DUMMYFUNCTION("IF(REGEXMATCH(Q85,""^\d,\d\d$""),VALUE(Q85),0)"),0)</f>
        <v>0</v>
      </c>
      <c r="S85" s="21"/>
      <c r="T85" s="22"/>
    </row>
    <row r="86" spans="1:37" ht="13.2" x14ac:dyDescent="0.25">
      <c r="A86" s="17"/>
      <c r="B86" s="28">
        <v>2</v>
      </c>
      <c r="C86" s="29"/>
      <c r="D86" s="30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2"/>
      <c r="R86" s="33">
        <f ca="1">IFERROR(__xludf.DUMMYFUNCTION("IF(REGEXMATCH(Q86,""^\d,\d\d$""),VALUE(Q86),0)"),0)</f>
        <v>0</v>
      </c>
      <c r="S86" s="21"/>
      <c r="T86" s="22"/>
    </row>
    <row r="87" spans="1:37" ht="13.2" x14ac:dyDescent="0.25">
      <c r="A87" s="17"/>
      <c r="B87" s="28">
        <v>3</v>
      </c>
      <c r="C87" s="29"/>
      <c r="D87" s="30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2"/>
      <c r="R87" s="33">
        <f ca="1">IFERROR(__xludf.DUMMYFUNCTION("IF(REGEXMATCH(Q87,""^\d,\d\d$""),VALUE(Q87),0)"),0)</f>
        <v>0</v>
      </c>
      <c r="S87" s="21"/>
      <c r="T87" s="22"/>
    </row>
    <row r="88" spans="1:37" ht="13.2" x14ac:dyDescent="0.25">
      <c r="A88" s="17"/>
      <c r="B88" s="28">
        <v>4</v>
      </c>
      <c r="C88" s="29"/>
      <c r="D88" s="30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2"/>
      <c r="R88" s="33">
        <f ca="1">IFERROR(__xludf.DUMMYFUNCTION("IF(REGEXMATCH(Q88,""^\d,\d\d$""),VALUE(Q88),0)"),0)</f>
        <v>0</v>
      </c>
      <c r="S88" s="21"/>
      <c r="T88" s="22"/>
    </row>
    <row r="89" spans="1:37" ht="13.2" x14ac:dyDescent="0.25">
      <c r="A89" s="17"/>
      <c r="B89" s="28">
        <v>5</v>
      </c>
      <c r="C89" s="29"/>
      <c r="D89" s="30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2"/>
      <c r="R89" s="33">
        <f ca="1">IFERROR(__xludf.DUMMYFUNCTION("IF(REGEXMATCH(Q89,""^\d,\d\d$""),VALUE(Q89),0)"),0)</f>
        <v>0</v>
      </c>
      <c r="S89" s="21"/>
      <c r="T89" s="22"/>
    </row>
    <row r="90" spans="1:37" ht="13.2" x14ac:dyDescent="0.25">
      <c r="A90" s="34"/>
      <c r="B90" s="35" t="s">
        <v>18</v>
      </c>
      <c r="C90" s="36"/>
      <c r="D90" s="44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9"/>
      <c r="R90" s="40"/>
      <c r="S90" s="41"/>
      <c r="T90" s="42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</row>
    <row r="91" spans="1:37" ht="13.2" x14ac:dyDescent="0.25">
      <c r="A91" s="17"/>
      <c r="B91" s="17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9"/>
      <c r="R91" s="20"/>
      <c r="S91" s="21"/>
      <c r="T91" s="22"/>
    </row>
    <row r="92" spans="1:37" ht="15.6" x14ac:dyDescent="0.25">
      <c r="A92" s="23">
        <v>12</v>
      </c>
      <c r="B92" s="97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9"/>
      <c r="R92" s="24"/>
      <c r="S92" s="25">
        <f ca="1">IF(COUNTIFS(R93:R97,"&gt;0") &gt; 3, FLOOR((SUM(R93:R97)-MIN(R93,R94,R95,R96,R97))/4,0.0001), )</f>
        <v>0</v>
      </c>
      <c r="T92" s="26" t="str">
        <f ca="1">IF(S92=0,"",RANK(S92,$S$4:$S$225,))</f>
        <v/>
      </c>
    </row>
    <row r="93" spans="1:37" ht="13.2" x14ac:dyDescent="0.25">
      <c r="A93" s="17"/>
      <c r="B93" s="28">
        <v>1</v>
      </c>
      <c r="C93" s="29"/>
      <c r="D93" s="30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2"/>
      <c r="R93" s="33">
        <f ca="1">IFERROR(__xludf.DUMMYFUNCTION("IF(REGEXMATCH(Q93,""^\d,\d\d$""),VALUE(Q93),0)"),0)</f>
        <v>0</v>
      </c>
      <c r="S93" s="21"/>
      <c r="T93" s="22"/>
    </row>
    <row r="94" spans="1:37" ht="13.2" x14ac:dyDescent="0.25">
      <c r="A94" s="17"/>
      <c r="B94" s="28">
        <v>2</v>
      </c>
      <c r="C94" s="29"/>
      <c r="D94" s="30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2"/>
      <c r="R94" s="33">
        <f ca="1">IFERROR(__xludf.DUMMYFUNCTION("IF(REGEXMATCH(Q94,""^\d,\d\d$""),VALUE(Q94),0)"),0)</f>
        <v>0</v>
      </c>
      <c r="S94" s="21"/>
      <c r="T94" s="22"/>
    </row>
    <row r="95" spans="1:37" ht="13.2" x14ac:dyDescent="0.25">
      <c r="A95" s="17"/>
      <c r="B95" s="28">
        <v>3</v>
      </c>
      <c r="C95" s="29"/>
      <c r="D95" s="30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2"/>
      <c r="R95" s="33">
        <f ca="1">IFERROR(__xludf.DUMMYFUNCTION("IF(REGEXMATCH(Q95,""^\d,\d\d$""),VALUE(Q95),0)"),0)</f>
        <v>0</v>
      </c>
      <c r="S95" s="21"/>
      <c r="T95" s="22"/>
    </row>
    <row r="96" spans="1:37" ht="13.2" x14ac:dyDescent="0.25">
      <c r="A96" s="17"/>
      <c r="B96" s="28">
        <v>4</v>
      </c>
      <c r="C96" s="29"/>
      <c r="D96" s="30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2"/>
      <c r="R96" s="33">
        <f ca="1">IFERROR(__xludf.DUMMYFUNCTION("IF(REGEXMATCH(Q96,""^\d,\d\d$""),VALUE(Q96),0)"),0)</f>
        <v>0</v>
      </c>
      <c r="S96" s="21"/>
      <c r="T96" s="22"/>
    </row>
    <row r="97" spans="1:37" ht="13.2" x14ac:dyDescent="0.25">
      <c r="A97" s="17"/>
      <c r="B97" s="28">
        <v>5</v>
      </c>
      <c r="C97" s="29"/>
      <c r="D97" s="30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2"/>
      <c r="R97" s="33">
        <f ca="1">IFERROR(__xludf.DUMMYFUNCTION("IF(REGEXMATCH(Q97,""^\d,\d\d$""),VALUE(Q97),0)"),0)</f>
        <v>0</v>
      </c>
      <c r="S97" s="21"/>
      <c r="T97" s="22"/>
    </row>
    <row r="98" spans="1:37" ht="13.2" x14ac:dyDescent="0.25">
      <c r="A98" s="34"/>
      <c r="B98" s="35" t="s">
        <v>18</v>
      </c>
      <c r="C98" s="36"/>
      <c r="D98" s="44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9"/>
      <c r="R98" s="40"/>
      <c r="S98" s="41"/>
      <c r="T98" s="42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</row>
    <row r="99" spans="1:37" ht="13.2" x14ac:dyDescent="0.25">
      <c r="A99" s="17"/>
      <c r="B99" s="17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9"/>
      <c r="R99" s="20"/>
      <c r="S99" s="21"/>
      <c r="T99" s="22"/>
    </row>
    <row r="100" spans="1:37" ht="15.6" x14ac:dyDescent="0.25">
      <c r="A100" s="23">
        <v>13</v>
      </c>
      <c r="B100" s="97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9"/>
      <c r="R100" s="24"/>
      <c r="S100" s="25">
        <f ca="1">IF(COUNTIFS(R101:R105,"&gt;0") &gt; 3, FLOOR((SUM(R101:R105)-MIN(R101,R102,R103,R104,R105))/4,0.0001), )</f>
        <v>0</v>
      </c>
      <c r="T100" s="26" t="str">
        <f ca="1">IF(S100=0,"",RANK(S100,$S$4:$S$225,))</f>
        <v/>
      </c>
    </row>
    <row r="101" spans="1:37" ht="13.2" x14ac:dyDescent="0.25">
      <c r="A101" s="17"/>
      <c r="B101" s="28">
        <v>1</v>
      </c>
      <c r="C101" s="29"/>
      <c r="D101" s="30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2"/>
      <c r="R101" s="33">
        <f ca="1">IFERROR(__xludf.DUMMYFUNCTION("IF(REGEXMATCH(Q101,""^\d,\d\d$""),VALUE(Q101),0)"),0)</f>
        <v>0</v>
      </c>
      <c r="S101" s="21"/>
      <c r="T101" s="22"/>
    </row>
    <row r="102" spans="1:37" ht="13.2" x14ac:dyDescent="0.25">
      <c r="A102" s="17"/>
      <c r="B102" s="28">
        <v>2</v>
      </c>
      <c r="C102" s="29"/>
      <c r="D102" s="30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2"/>
      <c r="R102" s="33">
        <f ca="1">IFERROR(__xludf.DUMMYFUNCTION("IF(REGEXMATCH(Q102,""^\d,\d\d$""),VALUE(Q102),0)"),0)</f>
        <v>0</v>
      </c>
      <c r="S102" s="21"/>
      <c r="T102" s="22"/>
    </row>
    <row r="103" spans="1:37" ht="13.2" x14ac:dyDescent="0.25">
      <c r="A103" s="17"/>
      <c r="B103" s="28">
        <v>3</v>
      </c>
      <c r="C103" s="29"/>
      <c r="D103" s="30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2"/>
      <c r="R103" s="33">
        <f ca="1">IFERROR(__xludf.DUMMYFUNCTION("IF(REGEXMATCH(Q103,""^\d,\d\d$""),VALUE(Q103),0)"),0)</f>
        <v>0</v>
      </c>
      <c r="S103" s="21"/>
      <c r="T103" s="22"/>
    </row>
    <row r="104" spans="1:37" ht="13.2" x14ac:dyDescent="0.25">
      <c r="A104" s="17"/>
      <c r="B104" s="28">
        <v>4</v>
      </c>
      <c r="C104" s="29"/>
      <c r="D104" s="30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2"/>
      <c r="R104" s="33">
        <f ca="1">IFERROR(__xludf.DUMMYFUNCTION("IF(REGEXMATCH(Q104,""^\d,\d\d$""),VALUE(Q104),0)"),0)</f>
        <v>0</v>
      </c>
      <c r="S104" s="21"/>
      <c r="T104" s="22"/>
    </row>
    <row r="105" spans="1:37" ht="13.2" x14ac:dyDescent="0.25">
      <c r="A105" s="17"/>
      <c r="B105" s="28">
        <v>5</v>
      </c>
      <c r="C105" s="29"/>
      <c r="D105" s="30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2"/>
      <c r="R105" s="33">
        <f ca="1">IFERROR(__xludf.DUMMYFUNCTION("IF(REGEXMATCH(Q105,""^\d,\d\d$""),VALUE(Q105),0)"),0)</f>
        <v>0</v>
      </c>
      <c r="S105" s="21"/>
      <c r="T105" s="22"/>
    </row>
    <row r="106" spans="1:37" ht="13.2" x14ac:dyDescent="0.25">
      <c r="A106" s="34"/>
      <c r="B106" s="35" t="s">
        <v>18</v>
      </c>
      <c r="C106" s="36"/>
      <c r="D106" s="44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9"/>
      <c r="R106" s="40"/>
      <c r="S106" s="41"/>
      <c r="T106" s="42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</row>
    <row r="107" spans="1:37" ht="13.2" x14ac:dyDescent="0.25">
      <c r="A107" s="17"/>
      <c r="B107" s="17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9"/>
      <c r="R107" s="20"/>
      <c r="S107" s="21"/>
      <c r="T107" s="22"/>
    </row>
    <row r="108" spans="1:37" ht="15.6" x14ac:dyDescent="0.25">
      <c r="A108" s="23">
        <v>14</v>
      </c>
      <c r="B108" s="97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9"/>
      <c r="R108" s="24"/>
      <c r="S108" s="25">
        <f ca="1">IF(COUNTIFS(R109:R113,"&gt;0") &gt; 3, FLOOR((SUM(R109:R113)-MIN(R109,R110,R111,R112,R113))/4,0.0001), )</f>
        <v>0</v>
      </c>
      <c r="T108" s="26" t="str">
        <f ca="1">IF(S108=0,"",RANK(S108,$S$4:$S$225,))</f>
        <v/>
      </c>
    </row>
    <row r="109" spans="1:37" ht="13.2" x14ac:dyDescent="0.25">
      <c r="A109" s="17"/>
      <c r="B109" s="28">
        <v>1</v>
      </c>
      <c r="C109" s="29" t="s">
        <v>62</v>
      </c>
      <c r="D109" s="30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2"/>
      <c r="R109" s="33">
        <f ca="1">IFERROR(__xludf.DUMMYFUNCTION("IF(REGEXMATCH(Q109,""^\d,\d\d$""),VALUE(Q109),0)"),0)</f>
        <v>0</v>
      </c>
      <c r="S109" s="21"/>
      <c r="T109" s="22"/>
    </row>
    <row r="110" spans="1:37" ht="13.2" x14ac:dyDescent="0.25">
      <c r="A110" s="17"/>
      <c r="B110" s="28">
        <v>2</v>
      </c>
      <c r="C110" s="29"/>
      <c r="D110" s="30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2"/>
      <c r="R110" s="33">
        <f ca="1">IFERROR(__xludf.DUMMYFUNCTION("IF(REGEXMATCH(Q110,""^\d,\d\d$""),VALUE(Q110),0)"),0)</f>
        <v>0</v>
      </c>
      <c r="S110" s="21"/>
      <c r="T110" s="22"/>
    </row>
    <row r="111" spans="1:37" ht="13.2" x14ac:dyDescent="0.25">
      <c r="A111" s="17"/>
      <c r="B111" s="28">
        <v>3</v>
      </c>
      <c r="C111" s="29"/>
      <c r="D111" s="30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2"/>
      <c r="R111" s="33">
        <f ca="1">IFERROR(__xludf.DUMMYFUNCTION("IF(REGEXMATCH(Q111,""^\d,\d\d$""),VALUE(Q111),0)"),0)</f>
        <v>0</v>
      </c>
      <c r="S111" s="21"/>
      <c r="T111" s="22"/>
    </row>
    <row r="112" spans="1:37" ht="13.2" x14ac:dyDescent="0.25">
      <c r="A112" s="17"/>
      <c r="B112" s="28">
        <v>4</v>
      </c>
      <c r="C112" s="29"/>
      <c r="D112" s="30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2"/>
      <c r="R112" s="33">
        <f ca="1">IFERROR(__xludf.DUMMYFUNCTION("IF(REGEXMATCH(Q112,""^\d,\d\d$""),VALUE(Q112),0)"),0)</f>
        <v>0</v>
      </c>
      <c r="S112" s="21"/>
      <c r="T112" s="22"/>
    </row>
    <row r="113" spans="1:37" ht="13.2" x14ac:dyDescent="0.25">
      <c r="A113" s="17"/>
      <c r="B113" s="28">
        <v>5</v>
      </c>
      <c r="C113" s="29"/>
      <c r="D113" s="30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2"/>
      <c r="R113" s="33">
        <f ca="1">IFERROR(__xludf.DUMMYFUNCTION("IF(REGEXMATCH(Q113,""^\d,\d\d$""),VALUE(Q113),0)"),0)</f>
        <v>0</v>
      </c>
      <c r="S113" s="21"/>
      <c r="T113" s="22"/>
    </row>
    <row r="114" spans="1:37" ht="13.2" x14ac:dyDescent="0.25">
      <c r="A114" s="34"/>
      <c r="B114" s="35" t="s">
        <v>18</v>
      </c>
      <c r="C114" s="36"/>
      <c r="D114" s="44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9"/>
      <c r="R114" s="40"/>
      <c r="S114" s="41"/>
      <c r="T114" s="42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</row>
    <row r="115" spans="1:37" ht="13.2" x14ac:dyDescent="0.25">
      <c r="A115" s="17"/>
      <c r="B115" s="17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9"/>
      <c r="R115" s="20"/>
      <c r="S115" s="21"/>
      <c r="T115" s="22"/>
    </row>
    <row r="116" spans="1:37" ht="15.6" x14ac:dyDescent="0.25">
      <c r="A116" s="23">
        <v>15</v>
      </c>
      <c r="B116" s="97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9"/>
      <c r="R116" s="24"/>
      <c r="S116" s="25">
        <f ca="1">IF(COUNTIFS(R117:R121,"&gt;0") &gt; 3, FLOOR((SUM(R117:R121)-MIN(R117,R118,R119,R120,R121))/4,0.0001), )</f>
        <v>0</v>
      </c>
      <c r="T116" s="26" t="str">
        <f ca="1">IF(S116=0,"",RANK(S116,$S$4:$S$225,))</f>
        <v/>
      </c>
    </row>
    <row r="117" spans="1:37" ht="13.2" x14ac:dyDescent="0.25">
      <c r="A117" s="17"/>
      <c r="B117" s="28">
        <v>1</v>
      </c>
      <c r="C117" s="29"/>
      <c r="D117" s="30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2"/>
      <c r="R117" s="33">
        <f ca="1">IFERROR(__xludf.DUMMYFUNCTION("IF(REGEXMATCH(Q117,""^\d,\d\d$""),VALUE(Q117),0)"),0)</f>
        <v>0</v>
      </c>
      <c r="S117" s="21"/>
      <c r="T117" s="22"/>
    </row>
    <row r="118" spans="1:37" ht="13.2" x14ac:dyDescent="0.25">
      <c r="A118" s="17"/>
      <c r="B118" s="28">
        <v>2</v>
      </c>
      <c r="C118" s="29"/>
      <c r="D118" s="30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2"/>
      <c r="R118" s="33">
        <f ca="1">IFERROR(__xludf.DUMMYFUNCTION("IF(REGEXMATCH(Q118,""^\d,\d\d$""),VALUE(Q118),0)"),0)</f>
        <v>0</v>
      </c>
      <c r="S118" s="21"/>
      <c r="T118" s="22"/>
    </row>
    <row r="119" spans="1:37" ht="13.2" x14ac:dyDescent="0.25">
      <c r="A119" s="17"/>
      <c r="B119" s="28">
        <v>3</v>
      </c>
      <c r="C119" s="29"/>
      <c r="D119" s="30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2"/>
      <c r="R119" s="33">
        <f ca="1">IFERROR(__xludf.DUMMYFUNCTION("IF(REGEXMATCH(Q119,""^\d,\d\d$""),VALUE(Q119),0)"),0)</f>
        <v>0</v>
      </c>
      <c r="S119" s="21"/>
      <c r="T119" s="22"/>
    </row>
    <row r="120" spans="1:37" ht="13.2" x14ac:dyDescent="0.25">
      <c r="A120" s="17"/>
      <c r="B120" s="28">
        <v>4</v>
      </c>
      <c r="C120" s="29"/>
      <c r="D120" s="30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2"/>
      <c r="R120" s="33">
        <f ca="1">IFERROR(__xludf.DUMMYFUNCTION("IF(REGEXMATCH(Q120,""^\d,\d\d$""),VALUE(Q120),0)"),0)</f>
        <v>0</v>
      </c>
      <c r="S120" s="21"/>
      <c r="T120" s="22"/>
    </row>
    <row r="121" spans="1:37" ht="13.2" x14ac:dyDescent="0.25">
      <c r="A121" s="17"/>
      <c r="B121" s="28">
        <v>5</v>
      </c>
      <c r="C121" s="29"/>
      <c r="D121" s="30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2"/>
      <c r="R121" s="33">
        <f ca="1">IFERROR(__xludf.DUMMYFUNCTION("IF(REGEXMATCH(Q121,""^\d,\d\d$""),VALUE(Q121),0)"),0)</f>
        <v>0</v>
      </c>
      <c r="S121" s="21"/>
      <c r="T121" s="22"/>
    </row>
    <row r="122" spans="1:37" ht="13.2" x14ac:dyDescent="0.25">
      <c r="A122" s="34"/>
      <c r="B122" s="35" t="s">
        <v>18</v>
      </c>
      <c r="C122" s="36"/>
      <c r="D122" s="44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9"/>
      <c r="R122" s="40"/>
      <c r="S122" s="41"/>
      <c r="T122" s="42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</row>
    <row r="123" spans="1:37" ht="13.2" x14ac:dyDescent="0.25">
      <c r="A123" s="17"/>
      <c r="B123" s="17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9"/>
      <c r="R123" s="20"/>
      <c r="S123" s="21"/>
      <c r="T123" s="22"/>
    </row>
    <row r="124" spans="1:37" ht="15.6" x14ac:dyDescent="0.25">
      <c r="A124" s="23">
        <v>16</v>
      </c>
      <c r="B124" s="97" t="s">
        <v>63</v>
      </c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9"/>
      <c r="R124" s="24"/>
      <c r="S124" s="25">
        <f ca="1">IF(COUNTIFS(R125:R129,"&gt;0") &gt; 3, FLOOR((SUM(R125:R129)-MIN(R125,R126,R127,R128,R129))/4,0.0001), )</f>
        <v>0</v>
      </c>
      <c r="T124" s="26" t="str">
        <f ca="1">IF(S124=0,"",RANK(S124,$S$4:$S$225,))</f>
        <v/>
      </c>
    </row>
    <row r="125" spans="1:37" ht="13.2" x14ac:dyDescent="0.25">
      <c r="A125" s="17"/>
      <c r="B125" s="28">
        <v>1</v>
      </c>
      <c r="C125" s="29"/>
      <c r="D125" s="30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2"/>
      <c r="R125" s="33">
        <f ca="1">IFERROR(__xludf.DUMMYFUNCTION("IF(REGEXMATCH(Q125,""^\d,\d\d$""),VALUE(Q125),0)"),0)</f>
        <v>0</v>
      </c>
      <c r="S125" s="21"/>
      <c r="T125" s="22"/>
    </row>
    <row r="126" spans="1:37" ht="13.2" x14ac:dyDescent="0.25">
      <c r="A126" s="17"/>
      <c r="B126" s="28">
        <v>2</v>
      </c>
      <c r="C126" s="29"/>
      <c r="D126" s="30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2"/>
      <c r="R126" s="33">
        <f ca="1">IFERROR(__xludf.DUMMYFUNCTION("IF(REGEXMATCH(Q126,""^\d,\d\d$""),VALUE(Q126),0)"),0)</f>
        <v>0</v>
      </c>
      <c r="S126" s="21"/>
      <c r="T126" s="22"/>
    </row>
    <row r="127" spans="1:37" ht="13.2" x14ac:dyDescent="0.25">
      <c r="A127" s="17"/>
      <c r="B127" s="28">
        <v>3</v>
      </c>
      <c r="C127" s="29"/>
      <c r="D127" s="30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2"/>
      <c r="R127" s="33">
        <f ca="1">IFERROR(__xludf.DUMMYFUNCTION("IF(REGEXMATCH(Q127,""^\d,\d\d$""),VALUE(Q127),0)"),0)</f>
        <v>0</v>
      </c>
      <c r="S127" s="21"/>
      <c r="T127" s="22"/>
    </row>
    <row r="128" spans="1:37" ht="13.2" x14ac:dyDescent="0.25">
      <c r="A128" s="17"/>
      <c r="B128" s="28">
        <v>4</v>
      </c>
      <c r="C128" s="29"/>
      <c r="D128" s="30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2"/>
      <c r="R128" s="33">
        <f ca="1">IFERROR(__xludf.DUMMYFUNCTION("IF(REGEXMATCH(Q128,""^\d,\d\d$""),VALUE(Q128),0)"),0)</f>
        <v>0</v>
      </c>
      <c r="S128" s="21"/>
      <c r="T128" s="22"/>
    </row>
    <row r="129" spans="1:37" ht="13.2" x14ac:dyDescent="0.25">
      <c r="A129" s="17"/>
      <c r="B129" s="28">
        <v>5</v>
      </c>
      <c r="C129" s="29"/>
      <c r="D129" s="30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2"/>
      <c r="R129" s="33">
        <f ca="1">IFERROR(__xludf.DUMMYFUNCTION("IF(REGEXMATCH(Q129,""^\d,\d\d$""),VALUE(Q129),0)"),0)</f>
        <v>0</v>
      </c>
      <c r="S129" s="21"/>
      <c r="T129" s="22"/>
    </row>
    <row r="130" spans="1:37" ht="13.2" x14ac:dyDescent="0.25">
      <c r="A130" s="34"/>
      <c r="B130" s="35" t="s">
        <v>18</v>
      </c>
      <c r="C130" s="36"/>
      <c r="D130" s="44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9"/>
      <c r="R130" s="40"/>
      <c r="S130" s="41"/>
      <c r="T130" s="42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</row>
    <row r="131" spans="1:37" ht="13.2" x14ac:dyDescent="0.25">
      <c r="A131" s="17"/>
      <c r="B131" s="17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9"/>
      <c r="R131" s="20"/>
      <c r="S131" s="21"/>
      <c r="T131" s="22"/>
    </row>
    <row r="132" spans="1:37" ht="15.6" x14ac:dyDescent="0.25">
      <c r="A132" s="23">
        <v>17</v>
      </c>
      <c r="B132" s="97" t="s">
        <v>64</v>
      </c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9"/>
      <c r="R132" s="24"/>
      <c r="S132" s="25">
        <f ca="1">IF(COUNTIFS(R133:R137,"&gt;0") &gt; 3, FLOOR((SUM(R133:R137)-MIN(R133,R134,R135,R136,R137))/4,0.0001), )</f>
        <v>0</v>
      </c>
      <c r="T132" s="26" t="str">
        <f ca="1">IF(S132=0,"",RANK(S132,$S$4:$S$225,))</f>
        <v/>
      </c>
    </row>
    <row r="133" spans="1:37" ht="13.2" x14ac:dyDescent="0.25">
      <c r="A133" s="17"/>
      <c r="B133" s="28">
        <v>1</v>
      </c>
      <c r="C133" s="29"/>
      <c r="D133" s="30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2"/>
      <c r="R133" s="33">
        <f ca="1">IFERROR(__xludf.DUMMYFUNCTION("IF(REGEXMATCH(Q133,""^\d,\d\d$""),VALUE(Q133),0)"),0)</f>
        <v>0</v>
      </c>
      <c r="S133" s="21"/>
      <c r="T133" s="22"/>
    </row>
    <row r="134" spans="1:37" ht="13.2" x14ac:dyDescent="0.25">
      <c r="A134" s="17"/>
      <c r="B134" s="28">
        <v>2</v>
      </c>
      <c r="C134" s="29"/>
      <c r="D134" s="30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2"/>
      <c r="R134" s="33">
        <f ca="1">IFERROR(__xludf.DUMMYFUNCTION("IF(REGEXMATCH(Q134,""^\d,\d\d$""),VALUE(Q134),0)"),0)</f>
        <v>0</v>
      </c>
      <c r="S134" s="21"/>
      <c r="T134" s="22"/>
    </row>
    <row r="135" spans="1:37" ht="13.2" x14ac:dyDescent="0.25">
      <c r="A135" s="17"/>
      <c r="B135" s="28">
        <v>3</v>
      </c>
      <c r="C135" s="29"/>
      <c r="D135" s="30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2"/>
      <c r="R135" s="33">
        <f ca="1">IFERROR(__xludf.DUMMYFUNCTION("IF(REGEXMATCH(Q135,""^\d,\d\d$""),VALUE(Q135),0)"),0)</f>
        <v>0</v>
      </c>
      <c r="S135" s="21"/>
      <c r="T135" s="22"/>
    </row>
    <row r="136" spans="1:37" ht="13.2" x14ac:dyDescent="0.25">
      <c r="A136" s="17"/>
      <c r="B136" s="28">
        <v>4</v>
      </c>
      <c r="C136" s="29"/>
      <c r="D136" s="30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2"/>
      <c r="R136" s="33">
        <f ca="1">IFERROR(__xludf.DUMMYFUNCTION("IF(REGEXMATCH(Q136,""^\d,\d\d$""),VALUE(Q136),0)"),0)</f>
        <v>0</v>
      </c>
      <c r="S136" s="21"/>
      <c r="T136" s="22"/>
    </row>
    <row r="137" spans="1:37" ht="13.2" x14ac:dyDescent="0.25">
      <c r="A137" s="17"/>
      <c r="B137" s="28">
        <v>5</v>
      </c>
      <c r="C137" s="29"/>
      <c r="D137" s="30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2"/>
      <c r="R137" s="33">
        <f ca="1">IFERROR(__xludf.DUMMYFUNCTION("IF(REGEXMATCH(Q137,""^\d,\d\d$""),VALUE(Q137),0)"),0)</f>
        <v>0</v>
      </c>
      <c r="S137" s="21"/>
      <c r="T137" s="22"/>
    </row>
    <row r="138" spans="1:37" ht="13.2" x14ac:dyDescent="0.25">
      <c r="A138" s="34"/>
      <c r="B138" s="35" t="s">
        <v>18</v>
      </c>
      <c r="C138" s="36"/>
      <c r="D138" s="44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9"/>
      <c r="R138" s="40"/>
      <c r="S138" s="41"/>
      <c r="T138" s="42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</row>
    <row r="139" spans="1:37" ht="13.2" x14ac:dyDescent="0.25">
      <c r="A139" s="17"/>
      <c r="B139" s="17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9"/>
      <c r="R139" s="20"/>
      <c r="S139" s="21"/>
      <c r="T139" s="22"/>
    </row>
    <row r="140" spans="1:37" ht="15.6" x14ac:dyDescent="0.25">
      <c r="A140" s="23">
        <v>18</v>
      </c>
      <c r="B140" s="97" t="s">
        <v>65</v>
      </c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9"/>
      <c r="R140" s="24"/>
      <c r="S140" s="25">
        <f ca="1">IF(COUNTIFS(R141:R145,"&gt;0") &gt; 3, FLOOR((SUM(R141:R145)-MIN(R141,R142,R143,R144,R145))/4,0.0001), )</f>
        <v>0</v>
      </c>
      <c r="T140" s="26" t="str">
        <f ca="1">IF(S140=0,"",RANK(S140,$S$4:$S$225,))</f>
        <v/>
      </c>
    </row>
    <row r="141" spans="1:37" ht="13.2" x14ac:dyDescent="0.25">
      <c r="A141" s="17"/>
      <c r="B141" s="28">
        <v>1</v>
      </c>
      <c r="C141" s="29"/>
      <c r="D141" s="30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2"/>
      <c r="R141" s="33">
        <f ca="1">IFERROR(__xludf.DUMMYFUNCTION("IF(REGEXMATCH(Q141,""^\d,\d\d$""),VALUE(Q141),0)"),0)</f>
        <v>0</v>
      </c>
      <c r="S141" s="21"/>
      <c r="T141" s="22"/>
    </row>
    <row r="142" spans="1:37" ht="13.2" x14ac:dyDescent="0.25">
      <c r="A142" s="17"/>
      <c r="B142" s="28">
        <v>2</v>
      </c>
      <c r="C142" s="29"/>
      <c r="D142" s="30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2"/>
      <c r="R142" s="33">
        <f ca="1">IFERROR(__xludf.DUMMYFUNCTION("IF(REGEXMATCH(Q142,""^\d,\d\d$""),VALUE(Q142),0)"),0)</f>
        <v>0</v>
      </c>
      <c r="S142" s="21"/>
      <c r="T142" s="22"/>
    </row>
    <row r="143" spans="1:37" ht="13.2" x14ac:dyDescent="0.25">
      <c r="A143" s="17"/>
      <c r="B143" s="28">
        <v>3</v>
      </c>
      <c r="C143" s="29"/>
      <c r="D143" s="30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2"/>
      <c r="R143" s="33">
        <f ca="1">IFERROR(__xludf.DUMMYFUNCTION("IF(REGEXMATCH(Q143,""^\d,\d\d$""),VALUE(Q143),0)"),0)</f>
        <v>0</v>
      </c>
      <c r="S143" s="21"/>
      <c r="T143" s="22"/>
    </row>
    <row r="144" spans="1:37" ht="13.2" x14ac:dyDescent="0.25">
      <c r="A144" s="17"/>
      <c r="B144" s="28">
        <v>4</v>
      </c>
      <c r="C144" s="29"/>
      <c r="D144" s="30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2"/>
      <c r="R144" s="33">
        <f ca="1">IFERROR(__xludf.DUMMYFUNCTION("IF(REGEXMATCH(Q144,""^\d,\d\d$""),VALUE(Q144),0)"),0)</f>
        <v>0</v>
      </c>
      <c r="S144" s="21"/>
      <c r="T144" s="22"/>
    </row>
    <row r="145" spans="1:37" ht="13.2" x14ac:dyDescent="0.25">
      <c r="A145" s="17"/>
      <c r="B145" s="28">
        <v>5</v>
      </c>
      <c r="C145" s="29"/>
      <c r="D145" s="30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2"/>
      <c r="R145" s="33">
        <f ca="1">IFERROR(__xludf.DUMMYFUNCTION("IF(REGEXMATCH(Q145,""^\d,\d\d$""),VALUE(Q145),0)"),0)</f>
        <v>0</v>
      </c>
      <c r="S145" s="21"/>
      <c r="T145" s="22"/>
    </row>
    <row r="146" spans="1:37" ht="13.2" x14ac:dyDescent="0.25">
      <c r="A146" s="34"/>
      <c r="B146" s="35" t="s">
        <v>18</v>
      </c>
      <c r="C146" s="36"/>
      <c r="D146" s="44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9"/>
      <c r="R146" s="40"/>
      <c r="S146" s="41"/>
      <c r="T146" s="42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</row>
    <row r="147" spans="1:37" ht="13.2" x14ac:dyDescent="0.25">
      <c r="A147" s="17"/>
      <c r="B147" s="17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9"/>
      <c r="R147" s="20"/>
      <c r="S147" s="21"/>
      <c r="T147" s="22"/>
    </row>
    <row r="148" spans="1:37" ht="15.6" x14ac:dyDescent="0.25">
      <c r="A148" s="23">
        <v>19</v>
      </c>
      <c r="B148" s="97" t="s">
        <v>66</v>
      </c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9"/>
      <c r="R148" s="24"/>
      <c r="S148" s="25">
        <f ca="1">IF(COUNTIFS(R149:R153,"&gt;0") &gt; 3, FLOOR((SUM(R149:R153)-MIN(R149,R150,R151,R152,R153))/4,0.0001), )</f>
        <v>0</v>
      </c>
      <c r="T148" s="26" t="str">
        <f ca="1">IF(S148=0,"",RANK(S148,$S$4:$S$225,))</f>
        <v/>
      </c>
    </row>
    <row r="149" spans="1:37" ht="13.2" x14ac:dyDescent="0.25">
      <c r="A149" s="17"/>
      <c r="B149" s="28">
        <v>1</v>
      </c>
      <c r="C149" s="29"/>
      <c r="D149" s="30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2"/>
      <c r="R149" s="33">
        <f ca="1">IFERROR(__xludf.DUMMYFUNCTION("IF(REGEXMATCH(Q149,""^\d,\d\d$""),VALUE(Q149),0)"),0)</f>
        <v>0</v>
      </c>
      <c r="S149" s="21"/>
      <c r="T149" s="22"/>
    </row>
    <row r="150" spans="1:37" ht="13.2" x14ac:dyDescent="0.25">
      <c r="A150" s="17"/>
      <c r="B150" s="28">
        <v>2</v>
      </c>
      <c r="C150" s="29"/>
      <c r="D150" s="30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2"/>
      <c r="R150" s="33">
        <f ca="1">IFERROR(__xludf.DUMMYFUNCTION("IF(REGEXMATCH(Q150,""^\d,\d\d$""),VALUE(Q150),0)"),0)</f>
        <v>0</v>
      </c>
      <c r="S150" s="21"/>
      <c r="T150" s="22"/>
    </row>
    <row r="151" spans="1:37" ht="13.2" x14ac:dyDescent="0.25">
      <c r="A151" s="17"/>
      <c r="B151" s="28">
        <v>3</v>
      </c>
      <c r="C151" s="29"/>
      <c r="D151" s="30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2"/>
      <c r="R151" s="33">
        <f ca="1">IFERROR(__xludf.DUMMYFUNCTION("IF(REGEXMATCH(Q151,""^\d,\d\d$""),VALUE(Q151),0)"),0)</f>
        <v>0</v>
      </c>
      <c r="S151" s="21"/>
      <c r="T151" s="22"/>
    </row>
    <row r="152" spans="1:37" ht="13.2" x14ac:dyDescent="0.25">
      <c r="A152" s="17"/>
      <c r="B152" s="28">
        <v>4</v>
      </c>
      <c r="C152" s="29"/>
      <c r="D152" s="30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2"/>
      <c r="R152" s="33">
        <f ca="1">IFERROR(__xludf.DUMMYFUNCTION("IF(REGEXMATCH(Q152,""^\d,\d\d$""),VALUE(Q152),0)"),0)</f>
        <v>0</v>
      </c>
      <c r="S152" s="21"/>
      <c r="T152" s="22"/>
    </row>
    <row r="153" spans="1:37" ht="13.2" x14ac:dyDescent="0.25">
      <c r="A153" s="17"/>
      <c r="B153" s="28">
        <v>5</v>
      </c>
      <c r="C153" s="29"/>
      <c r="D153" s="30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2"/>
      <c r="R153" s="33">
        <f ca="1">IFERROR(__xludf.DUMMYFUNCTION("IF(REGEXMATCH(Q153,""^\d,\d\d$""),VALUE(Q153),0)"),0)</f>
        <v>0</v>
      </c>
      <c r="S153" s="21"/>
      <c r="T153" s="22"/>
    </row>
    <row r="154" spans="1:37" ht="13.2" x14ac:dyDescent="0.25">
      <c r="A154" s="34"/>
      <c r="B154" s="35" t="s">
        <v>18</v>
      </c>
      <c r="C154" s="36"/>
      <c r="D154" s="44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9"/>
      <c r="R154" s="40"/>
      <c r="S154" s="41"/>
      <c r="T154" s="42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</row>
    <row r="155" spans="1:37" ht="13.2" x14ac:dyDescent="0.25">
      <c r="A155" s="17"/>
      <c r="B155" s="17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9"/>
      <c r="R155" s="20"/>
      <c r="S155" s="21"/>
      <c r="T155" s="22"/>
    </row>
    <row r="156" spans="1:37" ht="15.6" x14ac:dyDescent="0.25">
      <c r="A156" s="23">
        <v>20</v>
      </c>
      <c r="B156" s="97" t="s">
        <v>67</v>
      </c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9"/>
      <c r="R156" s="24"/>
      <c r="S156" s="25">
        <f ca="1">IF(COUNTIFS(R157:R161,"&gt;0") &gt; 3, FLOOR((SUM(R157:R161)-MIN(R157,R158,R159,R160,R161))/4,0.0001), )</f>
        <v>0</v>
      </c>
      <c r="T156" s="26" t="str">
        <f ca="1">IF(S156=0,"",RANK(S156,$S$4:$S$225,))</f>
        <v/>
      </c>
    </row>
    <row r="157" spans="1:37" ht="13.2" x14ac:dyDescent="0.25">
      <c r="A157" s="17"/>
      <c r="B157" s="28">
        <v>1</v>
      </c>
      <c r="C157" s="29"/>
      <c r="D157" s="30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2"/>
      <c r="R157" s="33">
        <f ca="1">IFERROR(__xludf.DUMMYFUNCTION("IF(REGEXMATCH(Q157,""^\d,\d\d$""),VALUE(Q157),0)"),0)</f>
        <v>0</v>
      </c>
      <c r="S157" s="21"/>
      <c r="T157" s="22"/>
    </row>
    <row r="158" spans="1:37" ht="13.2" x14ac:dyDescent="0.25">
      <c r="A158" s="17"/>
      <c r="B158" s="28">
        <v>2</v>
      </c>
      <c r="C158" s="29"/>
      <c r="D158" s="30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2"/>
      <c r="R158" s="33">
        <f ca="1">IFERROR(__xludf.DUMMYFUNCTION("IF(REGEXMATCH(Q158,""^\d,\d\d$""),VALUE(Q158),0)"),0)</f>
        <v>0</v>
      </c>
      <c r="S158" s="21"/>
      <c r="T158" s="22"/>
    </row>
    <row r="159" spans="1:37" ht="13.2" x14ac:dyDescent="0.25">
      <c r="A159" s="17"/>
      <c r="B159" s="28">
        <v>3</v>
      </c>
      <c r="C159" s="29"/>
      <c r="D159" s="30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2"/>
      <c r="R159" s="33">
        <f ca="1">IFERROR(__xludf.DUMMYFUNCTION("IF(REGEXMATCH(Q159,""^\d,\d\d$""),VALUE(Q159),0)"),0)</f>
        <v>0</v>
      </c>
      <c r="S159" s="21"/>
      <c r="T159" s="22"/>
    </row>
    <row r="160" spans="1:37" ht="13.2" x14ac:dyDescent="0.25">
      <c r="A160" s="17"/>
      <c r="B160" s="28">
        <v>4</v>
      </c>
      <c r="C160" s="29"/>
      <c r="D160" s="30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2"/>
      <c r="R160" s="33">
        <f ca="1">IFERROR(__xludf.DUMMYFUNCTION("IF(REGEXMATCH(Q160,""^\d,\d\d$""),VALUE(Q160),0)"),0)</f>
        <v>0</v>
      </c>
      <c r="S160" s="21"/>
      <c r="T160" s="22"/>
    </row>
    <row r="161" spans="1:37" ht="13.2" x14ac:dyDescent="0.25">
      <c r="A161" s="17"/>
      <c r="B161" s="28">
        <v>5</v>
      </c>
      <c r="C161" s="29"/>
      <c r="D161" s="30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2"/>
      <c r="R161" s="33">
        <f ca="1">IFERROR(__xludf.DUMMYFUNCTION("IF(REGEXMATCH(Q161,""^\d,\d\d$""),VALUE(Q161),0)"),0)</f>
        <v>0</v>
      </c>
      <c r="S161" s="21"/>
      <c r="T161" s="22"/>
    </row>
    <row r="162" spans="1:37" ht="13.2" x14ac:dyDescent="0.25">
      <c r="A162" s="34"/>
      <c r="B162" s="35" t="s">
        <v>18</v>
      </c>
      <c r="C162" s="36"/>
      <c r="D162" s="44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9"/>
      <c r="R162" s="40"/>
      <c r="S162" s="41"/>
      <c r="T162" s="42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</row>
    <row r="163" spans="1:37" ht="13.2" x14ac:dyDescent="0.25">
      <c r="A163" s="17"/>
      <c r="B163" s="17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9"/>
      <c r="R163" s="20"/>
      <c r="S163" s="21"/>
      <c r="T163" s="22"/>
    </row>
    <row r="164" spans="1:37" ht="15.6" x14ac:dyDescent="0.25">
      <c r="A164" s="23">
        <v>21</v>
      </c>
      <c r="B164" s="97" t="s">
        <v>68</v>
      </c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9"/>
      <c r="R164" s="24"/>
      <c r="S164" s="25">
        <f ca="1">IF(COUNTIFS(R165:R169,"&gt;0") &gt; 3, FLOOR((SUM(R165:R169)-MIN(R165,R166,R167,R168,R169))/4,0.0001), )</f>
        <v>0</v>
      </c>
      <c r="T164" s="26" t="str">
        <f ca="1">IF(S164=0,"",RANK(S164,$S$4:$S$225,))</f>
        <v/>
      </c>
    </row>
    <row r="165" spans="1:37" ht="13.2" x14ac:dyDescent="0.25">
      <c r="A165" s="17"/>
      <c r="B165" s="28">
        <v>1</v>
      </c>
      <c r="C165" s="29"/>
      <c r="D165" s="30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2"/>
      <c r="R165" s="33">
        <f ca="1">IFERROR(__xludf.DUMMYFUNCTION("IF(REGEXMATCH(Q165,""^\d,\d\d$""),VALUE(Q165),0)"),0)</f>
        <v>0</v>
      </c>
      <c r="S165" s="21"/>
      <c r="T165" s="22"/>
    </row>
    <row r="166" spans="1:37" ht="13.2" x14ac:dyDescent="0.25">
      <c r="A166" s="17"/>
      <c r="B166" s="28">
        <v>2</v>
      </c>
      <c r="C166" s="29"/>
      <c r="D166" s="30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2"/>
      <c r="R166" s="33">
        <f ca="1">IFERROR(__xludf.DUMMYFUNCTION("IF(REGEXMATCH(Q166,""^\d,\d\d$""),VALUE(Q166),0)"),0)</f>
        <v>0</v>
      </c>
      <c r="S166" s="21"/>
      <c r="T166" s="22"/>
    </row>
    <row r="167" spans="1:37" ht="13.2" x14ac:dyDescent="0.25">
      <c r="A167" s="17"/>
      <c r="B167" s="28">
        <v>3</v>
      </c>
      <c r="C167" s="29"/>
      <c r="D167" s="30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2"/>
      <c r="R167" s="33">
        <f ca="1">IFERROR(__xludf.DUMMYFUNCTION("IF(REGEXMATCH(Q167,""^\d,\d\d$""),VALUE(Q167),0)"),0)</f>
        <v>0</v>
      </c>
      <c r="S167" s="21"/>
      <c r="T167" s="22"/>
    </row>
    <row r="168" spans="1:37" ht="13.2" x14ac:dyDescent="0.25">
      <c r="A168" s="17"/>
      <c r="B168" s="28">
        <v>4</v>
      </c>
      <c r="C168" s="29"/>
      <c r="D168" s="30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2"/>
      <c r="R168" s="33">
        <f ca="1">IFERROR(__xludf.DUMMYFUNCTION("IF(REGEXMATCH(Q168,""^\d,\d\d$""),VALUE(Q168),0)"),0)</f>
        <v>0</v>
      </c>
      <c r="S168" s="21"/>
      <c r="T168" s="22"/>
    </row>
    <row r="169" spans="1:37" ht="13.2" x14ac:dyDescent="0.25">
      <c r="A169" s="17"/>
      <c r="B169" s="28">
        <v>5</v>
      </c>
      <c r="C169" s="29"/>
      <c r="D169" s="30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2"/>
      <c r="R169" s="33">
        <f ca="1">IFERROR(__xludf.DUMMYFUNCTION("IF(REGEXMATCH(Q169,""^\d,\d\d$""),VALUE(Q169),0)"),0)</f>
        <v>0</v>
      </c>
      <c r="S169" s="21"/>
      <c r="T169" s="22"/>
    </row>
    <row r="170" spans="1:37" ht="13.2" x14ac:dyDescent="0.25">
      <c r="A170" s="34"/>
      <c r="B170" s="35" t="s">
        <v>18</v>
      </c>
      <c r="C170" s="36"/>
      <c r="D170" s="44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9"/>
      <c r="R170" s="40"/>
      <c r="S170" s="41"/>
      <c r="T170" s="42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</row>
    <row r="171" spans="1:37" ht="13.2" x14ac:dyDescent="0.25">
      <c r="A171" s="17"/>
      <c r="B171" s="17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9"/>
      <c r="R171" s="20"/>
      <c r="S171" s="21"/>
      <c r="T171" s="22"/>
    </row>
    <row r="172" spans="1:37" ht="15.6" x14ac:dyDescent="0.25">
      <c r="A172" s="46">
        <v>22</v>
      </c>
      <c r="B172" s="97" t="s">
        <v>69</v>
      </c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9"/>
      <c r="R172" s="24"/>
      <c r="S172" s="25">
        <f ca="1">IF(COUNTIFS(R173:R177,"&gt;0") &gt; 3, FLOOR((SUM(R173:R177)-MIN(R173,R174,R175,R176,R177))/4,0.0001), )</f>
        <v>0</v>
      </c>
      <c r="T172" s="26" t="str">
        <f ca="1">IF(S172=0,"",RANK(S172,$S$4:$S$225,))</f>
        <v/>
      </c>
    </row>
    <row r="173" spans="1:37" ht="13.2" x14ac:dyDescent="0.25">
      <c r="A173" s="47"/>
      <c r="B173" s="48">
        <v>1</v>
      </c>
      <c r="C173" s="49"/>
      <c r="D173" s="50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2"/>
      <c r="R173" s="33">
        <f ca="1">IFERROR(__xludf.DUMMYFUNCTION("IF(REGEXMATCH(Q173,""^\d,\d\d$""),VALUE(Q173),0)"),0)</f>
        <v>0</v>
      </c>
      <c r="S173" s="51"/>
      <c r="T173" s="52"/>
    </row>
    <row r="174" spans="1:37" ht="13.2" x14ac:dyDescent="0.25">
      <c r="A174" s="47"/>
      <c r="B174" s="48">
        <v>2</v>
      </c>
      <c r="C174" s="49"/>
      <c r="D174" s="50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2"/>
      <c r="R174" s="33">
        <f ca="1">IFERROR(__xludf.DUMMYFUNCTION("IF(REGEXMATCH(Q174,""^\d,\d\d$""),VALUE(Q174),0)"),0)</f>
        <v>0</v>
      </c>
      <c r="S174" s="51"/>
      <c r="T174" s="52"/>
    </row>
    <row r="175" spans="1:37" ht="13.2" x14ac:dyDescent="0.25">
      <c r="A175" s="47"/>
      <c r="B175" s="48">
        <v>3</v>
      </c>
      <c r="C175" s="49"/>
      <c r="D175" s="50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2"/>
      <c r="R175" s="33">
        <f ca="1">IFERROR(__xludf.DUMMYFUNCTION("IF(REGEXMATCH(Q175,""^\d,\d\d$""),VALUE(Q175),0)"),0)</f>
        <v>0</v>
      </c>
      <c r="S175" s="51"/>
      <c r="T175" s="52"/>
    </row>
    <row r="176" spans="1:37" ht="13.2" x14ac:dyDescent="0.25">
      <c r="A176" s="47"/>
      <c r="B176" s="48">
        <v>4</v>
      </c>
      <c r="C176" s="49"/>
      <c r="D176" s="50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2"/>
      <c r="R176" s="33">
        <f ca="1">IFERROR(__xludf.DUMMYFUNCTION("IF(REGEXMATCH(Q176,""^\d,\d\d$""),VALUE(Q176),0)"),0)</f>
        <v>0</v>
      </c>
      <c r="S176" s="51"/>
      <c r="T176" s="52"/>
    </row>
    <row r="177" spans="1:37" ht="13.2" x14ac:dyDescent="0.25">
      <c r="A177" s="47"/>
      <c r="B177" s="48">
        <v>5</v>
      </c>
      <c r="C177" s="49"/>
      <c r="D177" s="50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2"/>
      <c r="R177" s="33">
        <f ca="1">IFERROR(__xludf.DUMMYFUNCTION("IF(REGEXMATCH(Q177,""^\d,\d\d$""),VALUE(Q177),0)"),0)</f>
        <v>0</v>
      </c>
      <c r="S177" s="51"/>
      <c r="T177" s="52"/>
    </row>
    <row r="178" spans="1:37" ht="13.2" x14ac:dyDescent="0.25">
      <c r="A178" s="34"/>
      <c r="B178" s="35" t="s">
        <v>18</v>
      </c>
      <c r="C178" s="36"/>
      <c r="D178" s="44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9"/>
      <c r="R178" s="40"/>
      <c r="S178" s="41"/>
      <c r="T178" s="42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</row>
    <row r="179" spans="1:37" ht="13.2" x14ac:dyDescent="0.25">
      <c r="A179" s="47"/>
      <c r="B179" s="52"/>
      <c r="C179" s="52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4"/>
      <c r="S179" s="51"/>
      <c r="T179" s="52"/>
    </row>
    <row r="180" spans="1:37" ht="15.6" x14ac:dyDescent="0.25">
      <c r="A180" s="46">
        <v>23</v>
      </c>
      <c r="B180" s="97" t="s">
        <v>70</v>
      </c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9"/>
      <c r="R180" s="24"/>
      <c r="S180" s="25">
        <f ca="1">IF(COUNTIFS(R181:R185,"&gt;0") &gt; 3, FLOOR((SUM(R181:R185)-MIN(R181,R182,R183,R184,R185))/4,0.0001), )</f>
        <v>0</v>
      </c>
      <c r="T180" s="26" t="str">
        <f ca="1">IF(S180=0,"",RANK(S180,$S$4:$S$225,))</f>
        <v/>
      </c>
    </row>
    <row r="181" spans="1:37" ht="13.2" x14ac:dyDescent="0.25">
      <c r="A181" s="47"/>
      <c r="B181" s="48">
        <v>1</v>
      </c>
      <c r="C181" s="49"/>
      <c r="D181" s="50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2"/>
      <c r="R181" s="33">
        <f ca="1">IFERROR(__xludf.DUMMYFUNCTION("IF(REGEXMATCH(Q181,""^\d,\d\d$""),VALUE(Q181),0)"),0)</f>
        <v>0</v>
      </c>
      <c r="S181" s="51"/>
      <c r="T181" s="52"/>
    </row>
    <row r="182" spans="1:37" ht="13.2" x14ac:dyDescent="0.25">
      <c r="A182" s="47"/>
      <c r="B182" s="48">
        <v>2</v>
      </c>
      <c r="C182" s="49"/>
      <c r="D182" s="50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2"/>
      <c r="R182" s="33">
        <f ca="1">IFERROR(__xludf.DUMMYFUNCTION("IF(REGEXMATCH(Q182,""^\d,\d\d$""),VALUE(Q182),0)"),0)</f>
        <v>0</v>
      </c>
      <c r="S182" s="51"/>
      <c r="T182" s="52"/>
    </row>
    <row r="183" spans="1:37" ht="13.2" x14ac:dyDescent="0.25">
      <c r="A183" s="47"/>
      <c r="B183" s="48">
        <v>3</v>
      </c>
      <c r="C183" s="49"/>
      <c r="D183" s="50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2"/>
      <c r="R183" s="33">
        <f ca="1">IFERROR(__xludf.DUMMYFUNCTION("IF(REGEXMATCH(Q183,""^\d,\d\d$""),VALUE(Q183),0)"),0)</f>
        <v>0</v>
      </c>
      <c r="S183" s="51"/>
      <c r="T183" s="52"/>
    </row>
    <row r="184" spans="1:37" ht="13.2" x14ac:dyDescent="0.25">
      <c r="A184" s="47"/>
      <c r="B184" s="48">
        <v>4</v>
      </c>
      <c r="C184" s="49"/>
      <c r="D184" s="50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2"/>
      <c r="R184" s="33">
        <f ca="1">IFERROR(__xludf.DUMMYFUNCTION("IF(REGEXMATCH(Q184,""^\d,\d\d$""),VALUE(Q184),0)"),0)</f>
        <v>0</v>
      </c>
      <c r="S184" s="51"/>
      <c r="T184" s="52"/>
    </row>
    <row r="185" spans="1:37" ht="13.2" x14ac:dyDescent="0.25">
      <c r="A185" s="47"/>
      <c r="B185" s="48">
        <v>5</v>
      </c>
      <c r="C185" s="49"/>
      <c r="D185" s="50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2"/>
      <c r="R185" s="33">
        <f ca="1">IFERROR(__xludf.DUMMYFUNCTION("IF(REGEXMATCH(Q185,""^\d,\d\d$""),VALUE(Q185),0)"),0)</f>
        <v>0</v>
      </c>
      <c r="S185" s="51"/>
      <c r="T185" s="52"/>
    </row>
    <row r="186" spans="1:37" ht="13.2" x14ac:dyDescent="0.25">
      <c r="A186" s="34"/>
      <c r="B186" s="35" t="s">
        <v>18</v>
      </c>
      <c r="C186" s="36"/>
      <c r="D186" s="44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9"/>
      <c r="R186" s="40"/>
      <c r="S186" s="41"/>
      <c r="T186" s="42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</row>
    <row r="187" spans="1:37" ht="13.2" x14ac:dyDescent="0.25">
      <c r="A187" s="47"/>
      <c r="B187" s="52"/>
      <c r="C187" s="52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4"/>
      <c r="S187" s="51"/>
      <c r="T187" s="52"/>
    </row>
    <row r="188" spans="1:37" ht="15.6" x14ac:dyDescent="0.25">
      <c r="A188" s="46">
        <v>24</v>
      </c>
      <c r="B188" s="97" t="s">
        <v>71</v>
      </c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9"/>
      <c r="R188" s="24"/>
      <c r="S188" s="25">
        <f ca="1">IF(COUNTIFS(R189:R193,"&gt;0") &gt; 3, FLOOR((SUM(R189:R193)-MIN(R189,R190,R191,R192,R193))/4,0.0001), )</f>
        <v>0</v>
      </c>
      <c r="T188" s="26" t="str">
        <f ca="1">IF(S188=0,"",RANK(S188,$S$4:$S$225,))</f>
        <v/>
      </c>
    </row>
    <row r="189" spans="1:37" ht="13.2" x14ac:dyDescent="0.25">
      <c r="A189" s="47"/>
      <c r="B189" s="48">
        <v>1</v>
      </c>
      <c r="C189" s="49"/>
      <c r="D189" s="50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2"/>
      <c r="R189" s="33">
        <f ca="1">IFERROR(__xludf.DUMMYFUNCTION("IF(REGEXMATCH(Q189,""^\d,\d\d$""),VALUE(Q189),0)"),0)</f>
        <v>0</v>
      </c>
      <c r="S189" s="51"/>
      <c r="T189" s="52"/>
    </row>
    <row r="190" spans="1:37" ht="13.2" x14ac:dyDescent="0.25">
      <c r="A190" s="47"/>
      <c r="B190" s="48">
        <v>2</v>
      </c>
      <c r="C190" s="49"/>
      <c r="D190" s="50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2"/>
      <c r="R190" s="33">
        <f ca="1">IFERROR(__xludf.DUMMYFUNCTION("IF(REGEXMATCH(Q190,""^\d,\d\d$""),VALUE(Q190),0)"),0)</f>
        <v>0</v>
      </c>
      <c r="S190" s="51"/>
      <c r="T190" s="52"/>
    </row>
    <row r="191" spans="1:37" ht="13.2" x14ac:dyDescent="0.25">
      <c r="A191" s="47"/>
      <c r="B191" s="48">
        <v>3</v>
      </c>
      <c r="C191" s="49"/>
      <c r="D191" s="50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2"/>
      <c r="R191" s="33">
        <f ca="1">IFERROR(__xludf.DUMMYFUNCTION("IF(REGEXMATCH(Q191,""^\d,\d\d$""),VALUE(Q191),0)"),0)</f>
        <v>0</v>
      </c>
      <c r="S191" s="51"/>
      <c r="T191" s="52"/>
    </row>
    <row r="192" spans="1:37" ht="13.2" x14ac:dyDescent="0.25">
      <c r="A192" s="47"/>
      <c r="B192" s="48">
        <v>4</v>
      </c>
      <c r="C192" s="49"/>
      <c r="D192" s="50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2"/>
      <c r="R192" s="33">
        <f ca="1">IFERROR(__xludf.DUMMYFUNCTION("IF(REGEXMATCH(Q192,""^\d,\d\d$""),VALUE(Q192),0)"),0)</f>
        <v>0</v>
      </c>
      <c r="S192" s="51"/>
      <c r="T192" s="52"/>
    </row>
    <row r="193" spans="1:37" ht="13.2" x14ac:dyDescent="0.25">
      <c r="A193" s="47"/>
      <c r="B193" s="48">
        <v>5</v>
      </c>
      <c r="C193" s="49"/>
      <c r="D193" s="50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2"/>
      <c r="R193" s="33">
        <f ca="1">IFERROR(__xludf.DUMMYFUNCTION("IF(REGEXMATCH(Q193,""^\d,\d\d$""),VALUE(Q193),0)"),0)</f>
        <v>0</v>
      </c>
      <c r="S193" s="51"/>
      <c r="T193" s="52"/>
    </row>
    <row r="194" spans="1:37" ht="13.2" x14ac:dyDescent="0.25">
      <c r="A194" s="34"/>
      <c r="B194" s="35" t="s">
        <v>18</v>
      </c>
      <c r="C194" s="36"/>
      <c r="D194" s="44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9"/>
      <c r="R194" s="40"/>
      <c r="S194" s="41"/>
      <c r="T194" s="42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</row>
    <row r="195" spans="1:37" ht="13.2" x14ac:dyDescent="0.25">
      <c r="A195" s="47"/>
      <c r="B195" s="52"/>
      <c r="C195" s="52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4"/>
      <c r="S195" s="51"/>
      <c r="T195" s="52"/>
    </row>
    <row r="196" spans="1:37" ht="15.6" x14ac:dyDescent="0.25">
      <c r="A196" s="46">
        <v>25</v>
      </c>
      <c r="B196" s="97" t="s">
        <v>72</v>
      </c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9"/>
      <c r="R196" s="24"/>
      <c r="S196" s="25">
        <f ca="1">IF(COUNTIFS(R197:R201,"&gt;0") &gt; 3, FLOOR((SUM(R197:R201)-MIN(R197,R198,R199,R200,R201))/4,0.0001), )</f>
        <v>0</v>
      </c>
      <c r="T196" s="26" t="str">
        <f ca="1">IF(S196=0,"",RANK(S196,$S$4:$S$225,))</f>
        <v/>
      </c>
    </row>
    <row r="197" spans="1:37" ht="13.2" x14ac:dyDescent="0.25">
      <c r="A197" s="47"/>
      <c r="B197" s="48">
        <v>1</v>
      </c>
      <c r="C197" s="49"/>
      <c r="D197" s="50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2"/>
      <c r="R197" s="33">
        <f ca="1">IFERROR(__xludf.DUMMYFUNCTION("IF(REGEXMATCH(Q197,""^\d,\d\d$""),VALUE(Q197),0)"),0)</f>
        <v>0</v>
      </c>
      <c r="S197" s="51"/>
      <c r="T197" s="52"/>
    </row>
    <row r="198" spans="1:37" ht="13.2" x14ac:dyDescent="0.25">
      <c r="A198" s="47"/>
      <c r="B198" s="48">
        <v>2</v>
      </c>
      <c r="C198" s="49"/>
      <c r="D198" s="50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2"/>
      <c r="R198" s="33">
        <f ca="1">IFERROR(__xludf.DUMMYFUNCTION("IF(REGEXMATCH(Q198,""^\d,\d\d$""),VALUE(Q198),0)"),0)</f>
        <v>0</v>
      </c>
      <c r="S198" s="51"/>
      <c r="T198" s="52"/>
    </row>
    <row r="199" spans="1:37" ht="13.2" x14ac:dyDescent="0.25">
      <c r="A199" s="47"/>
      <c r="B199" s="48">
        <v>3</v>
      </c>
      <c r="C199" s="49"/>
      <c r="D199" s="50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2"/>
      <c r="R199" s="33">
        <f ca="1">IFERROR(__xludf.DUMMYFUNCTION("IF(REGEXMATCH(Q199,""^\d,\d\d$""),VALUE(Q199),0)"),0)</f>
        <v>0</v>
      </c>
      <c r="S199" s="51"/>
      <c r="T199" s="52"/>
    </row>
    <row r="200" spans="1:37" ht="13.2" x14ac:dyDescent="0.25">
      <c r="A200" s="47"/>
      <c r="B200" s="48">
        <v>4</v>
      </c>
      <c r="C200" s="49"/>
      <c r="D200" s="50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2"/>
      <c r="R200" s="33">
        <f ca="1">IFERROR(__xludf.DUMMYFUNCTION("IF(REGEXMATCH(Q200,""^\d,\d\d$""),VALUE(Q200),0)"),0)</f>
        <v>0</v>
      </c>
      <c r="S200" s="51"/>
      <c r="T200" s="52"/>
    </row>
    <row r="201" spans="1:37" ht="13.2" x14ac:dyDescent="0.25">
      <c r="A201" s="47"/>
      <c r="B201" s="48">
        <v>5</v>
      </c>
      <c r="C201" s="49"/>
      <c r="D201" s="50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2"/>
      <c r="R201" s="33">
        <f ca="1">IFERROR(__xludf.DUMMYFUNCTION("IF(REGEXMATCH(Q201,""^\d,\d\d$""),VALUE(Q201),0)"),0)</f>
        <v>0</v>
      </c>
      <c r="S201" s="51"/>
      <c r="T201" s="52"/>
    </row>
    <row r="202" spans="1:37" ht="13.2" x14ac:dyDescent="0.25">
      <c r="A202" s="34"/>
      <c r="B202" s="35" t="s">
        <v>18</v>
      </c>
      <c r="C202" s="36"/>
      <c r="D202" s="44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9"/>
      <c r="R202" s="40"/>
      <c r="S202" s="41"/>
      <c r="T202" s="42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</row>
    <row r="203" spans="1:37" ht="13.2" x14ac:dyDescent="0.25">
      <c r="A203" s="47"/>
      <c r="B203" s="52"/>
      <c r="C203" s="52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4"/>
      <c r="S203" s="51"/>
      <c r="T203" s="52"/>
    </row>
    <row r="204" spans="1:37" ht="13.2" x14ac:dyDescent="0.25">
      <c r="A204" s="17"/>
      <c r="B204" s="17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9"/>
      <c r="R204" s="20"/>
      <c r="S204" s="21"/>
      <c r="T204" s="22"/>
    </row>
    <row r="205" spans="1:37" ht="13.2" x14ac:dyDescent="0.25">
      <c r="A205" s="17"/>
      <c r="B205" s="17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9"/>
      <c r="R205" s="20"/>
      <c r="S205" s="21"/>
      <c r="T205" s="22"/>
    </row>
    <row r="206" spans="1:37" ht="13.2" x14ac:dyDescent="0.25">
      <c r="A206" s="17"/>
      <c r="B206" s="17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9"/>
      <c r="R206" s="20"/>
      <c r="S206" s="21"/>
      <c r="T206" s="22"/>
    </row>
    <row r="207" spans="1:37" ht="13.2" x14ac:dyDescent="0.25">
      <c r="A207" s="17"/>
      <c r="B207" s="17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9"/>
      <c r="R207" s="20"/>
      <c r="S207" s="21"/>
      <c r="T207" s="22"/>
    </row>
    <row r="208" spans="1:37" ht="13.2" x14ac:dyDescent="0.25">
      <c r="A208" s="17"/>
      <c r="B208" s="17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9"/>
      <c r="R208" s="20"/>
      <c r="S208" s="21"/>
      <c r="T208" s="22"/>
    </row>
    <row r="209" spans="1:20" ht="13.2" x14ac:dyDescent="0.25">
      <c r="A209" s="17"/>
      <c r="B209" s="17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9"/>
      <c r="R209" s="20"/>
      <c r="S209" s="21"/>
      <c r="T209" s="22"/>
    </row>
    <row r="210" spans="1:20" ht="13.2" x14ac:dyDescent="0.25">
      <c r="A210" s="17"/>
      <c r="B210" s="17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9"/>
      <c r="R210" s="20"/>
      <c r="S210" s="21"/>
      <c r="T210" s="22"/>
    </row>
    <row r="211" spans="1:20" ht="13.2" x14ac:dyDescent="0.25">
      <c r="A211" s="17"/>
      <c r="B211" s="17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9"/>
      <c r="R211" s="20"/>
      <c r="S211" s="21"/>
      <c r="T211" s="22"/>
    </row>
    <row r="212" spans="1:20" ht="13.2" x14ac:dyDescent="0.25">
      <c r="A212" s="17"/>
      <c r="B212" s="17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9"/>
      <c r="R212" s="20"/>
      <c r="S212" s="21"/>
      <c r="T212" s="22"/>
    </row>
    <row r="213" spans="1:20" ht="13.2" x14ac:dyDescent="0.25">
      <c r="A213" s="17"/>
      <c r="B213" s="17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9"/>
      <c r="R213" s="20"/>
      <c r="S213" s="21"/>
      <c r="T213" s="22"/>
    </row>
    <row r="214" spans="1:20" ht="13.2" x14ac:dyDescent="0.25">
      <c r="A214" s="17"/>
      <c r="B214" s="17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9"/>
      <c r="R214" s="20"/>
      <c r="S214" s="21"/>
      <c r="T214" s="22"/>
    </row>
    <row r="215" spans="1:20" ht="13.2" x14ac:dyDescent="0.25">
      <c r="A215" s="17"/>
      <c r="B215" s="17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9"/>
      <c r="R215" s="20"/>
      <c r="S215" s="21"/>
      <c r="T215" s="22"/>
    </row>
    <row r="216" spans="1:20" ht="13.2" x14ac:dyDescent="0.25">
      <c r="A216" s="17"/>
      <c r="B216" s="17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9"/>
      <c r="R216" s="20"/>
      <c r="S216" s="21"/>
      <c r="T216" s="22"/>
    </row>
    <row r="217" spans="1:20" ht="13.2" x14ac:dyDescent="0.25">
      <c r="A217" s="17"/>
      <c r="B217" s="17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9"/>
      <c r="R217" s="20"/>
      <c r="S217" s="21"/>
      <c r="T217" s="22"/>
    </row>
    <row r="218" spans="1:20" ht="13.2" x14ac:dyDescent="0.25">
      <c r="A218" s="17"/>
      <c r="B218" s="17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9"/>
      <c r="R218" s="20"/>
      <c r="S218" s="21"/>
      <c r="T218" s="22"/>
    </row>
    <row r="219" spans="1:20" ht="13.2" x14ac:dyDescent="0.25">
      <c r="A219" s="17"/>
      <c r="B219" s="17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9"/>
      <c r="R219" s="20"/>
      <c r="S219" s="21"/>
      <c r="T219" s="22"/>
    </row>
    <row r="220" spans="1:20" ht="13.2" x14ac:dyDescent="0.25">
      <c r="A220" s="17"/>
      <c r="B220" s="17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9"/>
      <c r="R220" s="20"/>
      <c r="S220" s="21"/>
      <c r="T220" s="22"/>
    </row>
    <row r="221" spans="1:20" ht="13.2" x14ac:dyDescent="0.25">
      <c r="A221" s="17"/>
      <c r="B221" s="17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9"/>
      <c r="R221" s="20"/>
      <c r="S221" s="21"/>
      <c r="T221" s="22"/>
    </row>
    <row r="222" spans="1:20" ht="13.2" x14ac:dyDescent="0.25">
      <c r="A222" s="17"/>
      <c r="B222" s="17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9"/>
      <c r="R222" s="20"/>
      <c r="S222" s="21"/>
      <c r="T222" s="22"/>
    </row>
    <row r="223" spans="1:20" ht="13.2" x14ac:dyDescent="0.25">
      <c r="A223" s="17"/>
      <c r="B223" s="17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9"/>
      <c r="R223" s="20"/>
      <c r="S223" s="21"/>
      <c r="T223" s="22"/>
    </row>
    <row r="224" spans="1:20" ht="13.2" x14ac:dyDescent="0.25">
      <c r="A224" s="17"/>
      <c r="B224" s="17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9"/>
      <c r="R224" s="20"/>
      <c r="S224" s="21"/>
      <c r="T224" s="22"/>
    </row>
    <row r="225" spans="1:20" ht="13.2" x14ac:dyDescent="0.25">
      <c r="A225" s="17"/>
      <c r="B225" s="17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9"/>
      <c r="R225" s="20"/>
      <c r="S225" s="21"/>
      <c r="T225" s="22"/>
    </row>
    <row r="226" spans="1:20" ht="13.2" x14ac:dyDescent="0.25">
      <c r="A226" s="17"/>
      <c r="B226" s="17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9"/>
      <c r="R226" s="20"/>
      <c r="S226" s="21"/>
      <c r="T226" s="22"/>
    </row>
    <row r="227" spans="1:20" ht="13.2" x14ac:dyDescent="0.25">
      <c r="A227" s="17"/>
      <c r="B227" s="17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9"/>
      <c r="R227" s="20"/>
      <c r="S227" s="21"/>
      <c r="T227" s="22"/>
    </row>
    <row r="228" spans="1:20" ht="13.2" x14ac:dyDescent="0.25">
      <c r="A228" s="17"/>
      <c r="B228" s="17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9"/>
      <c r="R228" s="20"/>
      <c r="S228" s="21"/>
      <c r="T228" s="22"/>
    </row>
    <row r="229" spans="1:20" ht="13.2" x14ac:dyDescent="0.25">
      <c r="A229" s="17"/>
      <c r="B229" s="17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9"/>
      <c r="R229" s="20"/>
      <c r="S229" s="21"/>
      <c r="T229" s="22"/>
    </row>
    <row r="230" spans="1:20" ht="13.2" x14ac:dyDescent="0.25">
      <c r="A230" s="17"/>
      <c r="B230" s="17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9"/>
      <c r="R230" s="20"/>
      <c r="S230" s="21"/>
      <c r="T230" s="22"/>
    </row>
    <row r="231" spans="1:20" ht="13.2" x14ac:dyDescent="0.25">
      <c r="A231" s="17"/>
      <c r="B231" s="17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9"/>
      <c r="R231" s="20"/>
      <c r="S231" s="21"/>
      <c r="T231" s="22"/>
    </row>
    <row r="232" spans="1:20" ht="13.2" x14ac:dyDescent="0.25">
      <c r="A232" s="17"/>
      <c r="B232" s="17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9"/>
      <c r="R232" s="20"/>
      <c r="S232" s="21"/>
      <c r="T232" s="22"/>
    </row>
    <row r="233" spans="1:20" ht="13.2" x14ac:dyDescent="0.25">
      <c r="A233" s="17"/>
      <c r="B233" s="17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9"/>
      <c r="R233" s="20"/>
      <c r="S233" s="21"/>
      <c r="T233" s="22"/>
    </row>
    <row r="234" spans="1:20" ht="13.2" x14ac:dyDescent="0.25">
      <c r="A234" s="17"/>
      <c r="B234" s="17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9"/>
      <c r="R234" s="20"/>
      <c r="S234" s="21"/>
      <c r="T234" s="22"/>
    </row>
    <row r="235" spans="1:20" ht="13.2" x14ac:dyDescent="0.25">
      <c r="A235" s="17"/>
      <c r="B235" s="17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9"/>
      <c r="R235" s="20"/>
      <c r="S235" s="21"/>
      <c r="T235" s="22"/>
    </row>
    <row r="236" spans="1:20" ht="13.2" x14ac:dyDescent="0.25">
      <c r="A236" s="17"/>
      <c r="B236" s="17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9"/>
      <c r="R236" s="20"/>
      <c r="S236" s="21"/>
      <c r="T236" s="22"/>
    </row>
    <row r="237" spans="1:20" ht="13.2" x14ac:dyDescent="0.25">
      <c r="A237" s="17"/>
      <c r="B237" s="17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9"/>
      <c r="R237" s="20"/>
      <c r="S237" s="21"/>
      <c r="T237" s="22"/>
    </row>
    <row r="238" spans="1:20" ht="13.2" x14ac:dyDescent="0.25">
      <c r="A238" s="17"/>
      <c r="B238" s="17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9"/>
      <c r="R238" s="20"/>
      <c r="S238" s="21"/>
      <c r="T238" s="22"/>
    </row>
    <row r="239" spans="1:20" ht="13.2" x14ac:dyDescent="0.25">
      <c r="A239" s="17"/>
      <c r="B239" s="17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9"/>
      <c r="R239" s="20"/>
      <c r="S239" s="21"/>
      <c r="T239" s="22"/>
    </row>
    <row r="240" spans="1:20" ht="13.2" x14ac:dyDescent="0.25">
      <c r="A240" s="17"/>
      <c r="B240" s="17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9"/>
      <c r="R240" s="20"/>
      <c r="S240" s="21"/>
      <c r="T240" s="22"/>
    </row>
    <row r="241" spans="1:20" ht="13.2" x14ac:dyDescent="0.25">
      <c r="A241" s="17"/>
      <c r="B241" s="17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9"/>
      <c r="R241" s="20"/>
      <c r="S241" s="21"/>
      <c r="T241" s="22"/>
    </row>
    <row r="242" spans="1:20" ht="13.2" x14ac:dyDescent="0.25">
      <c r="A242" s="17"/>
      <c r="B242" s="17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9"/>
      <c r="R242" s="20"/>
      <c r="S242" s="21"/>
      <c r="T242" s="22"/>
    </row>
    <row r="243" spans="1:20" ht="13.2" x14ac:dyDescent="0.25">
      <c r="A243" s="17"/>
      <c r="B243" s="17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9"/>
      <c r="R243" s="20"/>
      <c r="S243" s="21"/>
      <c r="T243" s="22"/>
    </row>
    <row r="244" spans="1:20" ht="13.2" x14ac:dyDescent="0.25">
      <c r="A244" s="17"/>
      <c r="B244" s="17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9"/>
      <c r="R244" s="20"/>
      <c r="S244" s="21"/>
      <c r="T244" s="22"/>
    </row>
    <row r="245" spans="1:20" ht="13.2" x14ac:dyDescent="0.25">
      <c r="A245" s="17"/>
      <c r="B245" s="17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9"/>
      <c r="R245" s="20"/>
      <c r="S245" s="21"/>
      <c r="T245" s="22"/>
    </row>
    <row r="246" spans="1:20" ht="13.2" x14ac:dyDescent="0.25">
      <c r="A246" s="17"/>
      <c r="B246" s="17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9"/>
      <c r="R246" s="20"/>
      <c r="S246" s="21"/>
      <c r="T246" s="22"/>
    </row>
    <row r="247" spans="1:20" ht="13.2" x14ac:dyDescent="0.25">
      <c r="A247" s="17"/>
      <c r="B247" s="17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9"/>
      <c r="R247" s="20"/>
      <c r="S247" s="21"/>
      <c r="T247" s="22"/>
    </row>
    <row r="248" spans="1:20" ht="13.2" x14ac:dyDescent="0.25">
      <c r="A248" s="17"/>
      <c r="B248" s="17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9"/>
      <c r="R248" s="20"/>
      <c r="S248" s="21"/>
      <c r="T248" s="22"/>
    </row>
    <row r="249" spans="1:20" ht="13.2" x14ac:dyDescent="0.25">
      <c r="A249" s="17"/>
      <c r="B249" s="17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9"/>
      <c r="R249" s="20"/>
      <c r="S249" s="21"/>
      <c r="T249" s="22"/>
    </row>
    <row r="250" spans="1:20" ht="13.2" x14ac:dyDescent="0.25">
      <c r="A250" s="17"/>
      <c r="B250" s="17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9"/>
      <c r="R250" s="20"/>
      <c r="S250" s="21"/>
      <c r="T250" s="22"/>
    </row>
    <row r="251" spans="1:20" ht="13.2" x14ac:dyDescent="0.25">
      <c r="A251" s="17"/>
      <c r="B251" s="17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9"/>
      <c r="R251" s="20"/>
      <c r="S251" s="21"/>
      <c r="T251" s="22"/>
    </row>
    <row r="252" spans="1:20" ht="13.2" x14ac:dyDescent="0.25">
      <c r="A252" s="17"/>
      <c r="B252" s="17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9"/>
      <c r="R252" s="20"/>
      <c r="S252" s="21"/>
      <c r="T252" s="22"/>
    </row>
    <row r="253" spans="1:20" ht="13.2" x14ac:dyDescent="0.25">
      <c r="A253" s="17"/>
      <c r="B253" s="17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9"/>
      <c r="R253" s="20"/>
      <c r="S253" s="21"/>
      <c r="T253" s="22"/>
    </row>
    <row r="254" spans="1:20" ht="13.2" x14ac:dyDescent="0.25">
      <c r="A254" s="17"/>
      <c r="B254" s="17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9"/>
      <c r="R254" s="20"/>
      <c r="S254" s="21"/>
      <c r="T254" s="22"/>
    </row>
    <row r="255" spans="1:20" ht="13.2" x14ac:dyDescent="0.25">
      <c r="A255" s="17"/>
      <c r="B255" s="17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9"/>
      <c r="R255" s="20"/>
      <c r="S255" s="21"/>
      <c r="T255" s="22"/>
    </row>
    <row r="256" spans="1:20" ht="13.2" x14ac:dyDescent="0.25">
      <c r="A256" s="17"/>
      <c r="B256" s="17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9"/>
      <c r="R256" s="20"/>
      <c r="S256" s="21"/>
      <c r="T256" s="22"/>
    </row>
    <row r="257" spans="1:20" ht="13.2" x14ac:dyDescent="0.25">
      <c r="A257" s="17"/>
      <c r="B257" s="17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9"/>
      <c r="R257" s="20"/>
      <c r="S257" s="21"/>
      <c r="T257" s="22"/>
    </row>
    <row r="258" spans="1:20" ht="13.2" x14ac:dyDescent="0.25">
      <c r="A258" s="17"/>
      <c r="B258" s="17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9"/>
      <c r="R258" s="20"/>
      <c r="S258" s="21"/>
      <c r="T258" s="22"/>
    </row>
    <row r="259" spans="1:20" ht="13.2" x14ac:dyDescent="0.25">
      <c r="A259" s="17"/>
      <c r="B259" s="17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9"/>
      <c r="R259" s="20"/>
      <c r="S259" s="21"/>
      <c r="T259" s="22"/>
    </row>
    <row r="260" spans="1:20" ht="13.2" x14ac:dyDescent="0.25">
      <c r="A260" s="17"/>
      <c r="B260" s="17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9"/>
      <c r="R260" s="20"/>
      <c r="S260" s="21"/>
      <c r="T260" s="22"/>
    </row>
    <row r="261" spans="1:20" ht="13.2" x14ac:dyDescent="0.25">
      <c r="A261" s="17"/>
      <c r="B261" s="17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9"/>
      <c r="R261" s="20"/>
      <c r="S261" s="21"/>
      <c r="T261" s="22"/>
    </row>
    <row r="262" spans="1:20" ht="13.2" x14ac:dyDescent="0.25">
      <c r="A262" s="17"/>
      <c r="B262" s="17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9"/>
      <c r="R262" s="20"/>
      <c r="S262" s="21"/>
      <c r="T262" s="22"/>
    </row>
    <row r="263" spans="1:20" ht="13.2" x14ac:dyDescent="0.25">
      <c r="A263" s="17"/>
      <c r="B263" s="17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9"/>
      <c r="R263" s="20"/>
      <c r="S263" s="21"/>
      <c r="T263" s="22"/>
    </row>
    <row r="264" spans="1:20" ht="13.2" x14ac:dyDescent="0.25">
      <c r="A264" s="17"/>
      <c r="B264" s="17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9"/>
      <c r="R264" s="20"/>
      <c r="S264" s="21"/>
      <c r="T264" s="22"/>
    </row>
    <row r="265" spans="1:20" ht="13.2" x14ac:dyDescent="0.25">
      <c r="A265" s="17"/>
      <c r="B265" s="17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9"/>
      <c r="R265" s="20"/>
      <c r="S265" s="21"/>
      <c r="T265" s="22"/>
    </row>
    <row r="266" spans="1:20" ht="13.2" x14ac:dyDescent="0.25">
      <c r="A266" s="17"/>
      <c r="B266" s="17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9"/>
      <c r="R266" s="20"/>
      <c r="S266" s="21"/>
      <c r="T266" s="22"/>
    </row>
    <row r="267" spans="1:20" ht="13.2" x14ac:dyDescent="0.25">
      <c r="A267" s="17"/>
      <c r="B267" s="17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9"/>
      <c r="R267" s="20"/>
      <c r="S267" s="21"/>
      <c r="T267" s="22"/>
    </row>
    <row r="268" spans="1:20" ht="13.2" x14ac:dyDescent="0.25">
      <c r="A268" s="17"/>
      <c r="B268" s="17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9"/>
      <c r="R268" s="20"/>
      <c r="S268" s="21"/>
      <c r="T268" s="22"/>
    </row>
    <row r="269" spans="1:20" ht="13.2" x14ac:dyDescent="0.25">
      <c r="A269" s="17"/>
      <c r="B269" s="17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9"/>
      <c r="R269" s="20"/>
      <c r="S269" s="21"/>
      <c r="T269" s="22"/>
    </row>
    <row r="270" spans="1:20" ht="13.2" x14ac:dyDescent="0.25">
      <c r="A270" s="17"/>
      <c r="B270" s="17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9"/>
      <c r="R270" s="20"/>
      <c r="S270" s="21"/>
      <c r="T270" s="22"/>
    </row>
    <row r="271" spans="1:20" ht="13.2" x14ac:dyDescent="0.25">
      <c r="A271" s="17"/>
      <c r="B271" s="17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9"/>
      <c r="R271" s="20"/>
      <c r="S271" s="21"/>
      <c r="T271" s="22"/>
    </row>
    <row r="272" spans="1:20" ht="13.2" x14ac:dyDescent="0.25">
      <c r="A272" s="17"/>
      <c r="B272" s="17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9"/>
      <c r="R272" s="20"/>
      <c r="S272" s="21"/>
      <c r="T272" s="22"/>
    </row>
    <row r="273" spans="1:20" ht="13.2" x14ac:dyDescent="0.25">
      <c r="A273" s="17"/>
      <c r="B273" s="17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9"/>
      <c r="R273" s="20"/>
      <c r="S273" s="21"/>
      <c r="T273" s="22"/>
    </row>
    <row r="274" spans="1:20" ht="13.2" x14ac:dyDescent="0.25">
      <c r="A274" s="17"/>
      <c r="B274" s="17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9"/>
      <c r="R274" s="20"/>
      <c r="S274" s="21"/>
      <c r="T274" s="22"/>
    </row>
    <row r="275" spans="1:20" ht="13.2" x14ac:dyDescent="0.25">
      <c r="A275" s="17"/>
      <c r="B275" s="17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9"/>
      <c r="R275" s="20"/>
      <c r="S275" s="21"/>
      <c r="T275" s="22"/>
    </row>
    <row r="276" spans="1:20" ht="13.2" x14ac:dyDescent="0.25">
      <c r="A276" s="17"/>
      <c r="B276" s="17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9"/>
      <c r="R276" s="20"/>
      <c r="S276" s="21"/>
      <c r="T276" s="22"/>
    </row>
    <row r="277" spans="1:20" ht="13.2" x14ac:dyDescent="0.25">
      <c r="A277" s="17"/>
      <c r="B277" s="17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9"/>
      <c r="R277" s="20"/>
      <c r="S277" s="21"/>
      <c r="T277" s="22"/>
    </row>
    <row r="278" spans="1:20" ht="13.2" x14ac:dyDescent="0.25">
      <c r="A278" s="17"/>
      <c r="B278" s="17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9"/>
      <c r="R278" s="20"/>
      <c r="S278" s="21"/>
      <c r="T278" s="22"/>
    </row>
    <row r="279" spans="1:20" ht="13.2" x14ac:dyDescent="0.25">
      <c r="A279" s="17"/>
      <c r="B279" s="17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9"/>
      <c r="R279" s="20"/>
      <c r="S279" s="21"/>
      <c r="T279" s="22"/>
    </row>
    <row r="280" spans="1:20" ht="13.2" x14ac:dyDescent="0.25">
      <c r="A280" s="17"/>
      <c r="B280" s="17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9"/>
      <c r="R280" s="20"/>
      <c r="S280" s="21"/>
      <c r="T280" s="22"/>
    </row>
    <row r="281" spans="1:20" ht="13.2" x14ac:dyDescent="0.25">
      <c r="A281" s="17"/>
      <c r="B281" s="17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9"/>
      <c r="R281" s="20"/>
      <c r="S281" s="21"/>
      <c r="T281" s="22"/>
    </row>
    <row r="282" spans="1:20" ht="13.2" x14ac:dyDescent="0.25">
      <c r="A282" s="17"/>
      <c r="B282" s="17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9"/>
      <c r="R282" s="20"/>
      <c r="S282" s="21"/>
      <c r="T282" s="22"/>
    </row>
    <row r="283" spans="1:20" ht="13.2" x14ac:dyDescent="0.25">
      <c r="A283" s="17"/>
      <c r="B283" s="17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9"/>
      <c r="R283" s="20"/>
      <c r="S283" s="21"/>
      <c r="T283" s="22"/>
    </row>
    <row r="284" spans="1:20" ht="13.2" x14ac:dyDescent="0.25">
      <c r="A284" s="17"/>
      <c r="B284" s="17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9"/>
      <c r="R284" s="20"/>
      <c r="S284" s="21"/>
      <c r="T284" s="22"/>
    </row>
    <row r="285" spans="1:20" ht="13.2" x14ac:dyDescent="0.25">
      <c r="A285" s="17"/>
      <c r="B285" s="17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9"/>
      <c r="R285" s="20"/>
      <c r="S285" s="21"/>
      <c r="T285" s="22"/>
    </row>
    <row r="286" spans="1:20" ht="13.2" x14ac:dyDescent="0.25">
      <c r="A286" s="17"/>
      <c r="B286" s="17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9"/>
      <c r="R286" s="20"/>
      <c r="S286" s="21"/>
      <c r="T286" s="22"/>
    </row>
    <row r="287" spans="1:20" ht="13.2" x14ac:dyDescent="0.25">
      <c r="A287" s="17"/>
      <c r="B287" s="17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9"/>
      <c r="R287" s="20"/>
      <c r="S287" s="21"/>
      <c r="T287" s="22"/>
    </row>
    <row r="288" spans="1:20" ht="13.2" x14ac:dyDescent="0.25">
      <c r="A288" s="17"/>
      <c r="B288" s="17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9"/>
      <c r="R288" s="20"/>
      <c r="S288" s="21"/>
      <c r="T288" s="22"/>
    </row>
    <row r="289" spans="1:20" ht="13.2" x14ac:dyDescent="0.25">
      <c r="A289" s="17"/>
      <c r="B289" s="17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9"/>
      <c r="R289" s="20"/>
      <c r="S289" s="21"/>
      <c r="T289" s="22"/>
    </row>
    <row r="290" spans="1:20" ht="13.2" x14ac:dyDescent="0.25">
      <c r="A290" s="17"/>
      <c r="B290" s="17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9"/>
      <c r="R290" s="20"/>
      <c r="S290" s="21"/>
      <c r="T290" s="22"/>
    </row>
    <row r="291" spans="1:20" ht="13.2" x14ac:dyDescent="0.25">
      <c r="A291" s="17"/>
      <c r="B291" s="17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9"/>
      <c r="R291" s="20"/>
      <c r="S291" s="21"/>
      <c r="T291" s="22"/>
    </row>
    <row r="292" spans="1:20" ht="13.2" x14ac:dyDescent="0.25">
      <c r="A292" s="17"/>
      <c r="B292" s="17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9"/>
      <c r="R292" s="20"/>
      <c r="S292" s="21"/>
      <c r="T292" s="22"/>
    </row>
    <row r="293" spans="1:20" ht="13.2" x14ac:dyDescent="0.25">
      <c r="A293" s="17"/>
      <c r="B293" s="17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9"/>
      <c r="R293" s="20"/>
      <c r="S293" s="21"/>
      <c r="T293" s="22"/>
    </row>
    <row r="294" spans="1:20" ht="13.2" x14ac:dyDescent="0.25">
      <c r="A294" s="17"/>
      <c r="B294" s="17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9"/>
      <c r="R294" s="20"/>
      <c r="S294" s="21"/>
      <c r="T294" s="22"/>
    </row>
    <row r="295" spans="1:20" ht="13.2" x14ac:dyDescent="0.25">
      <c r="A295" s="17"/>
      <c r="B295" s="17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9"/>
      <c r="R295" s="20"/>
      <c r="S295" s="21"/>
      <c r="T295" s="22"/>
    </row>
    <row r="296" spans="1:20" ht="13.2" x14ac:dyDescent="0.25">
      <c r="A296" s="17"/>
      <c r="B296" s="17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9"/>
      <c r="R296" s="20"/>
      <c r="S296" s="21"/>
      <c r="T296" s="22"/>
    </row>
    <row r="297" spans="1:20" ht="13.2" x14ac:dyDescent="0.25">
      <c r="A297" s="17"/>
      <c r="B297" s="17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9"/>
      <c r="R297" s="20"/>
      <c r="S297" s="21"/>
      <c r="T297" s="22"/>
    </row>
    <row r="298" spans="1:20" ht="13.2" x14ac:dyDescent="0.25">
      <c r="A298" s="17"/>
      <c r="B298" s="17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9"/>
      <c r="R298" s="20"/>
      <c r="S298" s="21"/>
      <c r="T298" s="22"/>
    </row>
    <row r="299" spans="1:20" ht="13.2" x14ac:dyDescent="0.25">
      <c r="A299" s="17"/>
      <c r="B299" s="17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9"/>
      <c r="R299" s="20"/>
      <c r="S299" s="21"/>
      <c r="T299" s="22"/>
    </row>
    <row r="300" spans="1:20" ht="13.2" x14ac:dyDescent="0.25">
      <c r="A300" s="17"/>
      <c r="B300" s="17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9"/>
      <c r="R300" s="20"/>
      <c r="S300" s="21"/>
      <c r="T300" s="22"/>
    </row>
    <row r="301" spans="1:20" ht="13.2" x14ac:dyDescent="0.25">
      <c r="A301" s="17"/>
      <c r="B301" s="17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9"/>
      <c r="R301" s="20"/>
      <c r="S301" s="21"/>
      <c r="T301" s="22"/>
    </row>
    <row r="302" spans="1:20" ht="13.2" x14ac:dyDescent="0.25">
      <c r="A302" s="17"/>
      <c r="B302" s="17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9"/>
      <c r="R302" s="20"/>
      <c r="S302" s="21"/>
      <c r="T302" s="22"/>
    </row>
    <row r="303" spans="1:20" ht="13.2" x14ac:dyDescent="0.25">
      <c r="A303" s="17"/>
      <c r="B303" s="17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9"/>
      <c r="R303" s="20"/>
      <c r="S303" s="21"/>
      <c r="T303" s="22"/>
    </row>
    <row r="304" spans="1:20" ht="13.2" x14ac:dyDescent="0.25">
      <c r="A304" s="17"/>
      <c r="B304" s="17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9"/>
      <c r="R304" s="20"/>
      <c r="S304" s="21"/>
      <c r="T304" s="22"/>
    </row>
    <row r="305" spans="1:20" ht="13.2" x14ac:dyDescent="0.25">
      <c r="A305" s="17"/>
      <c r="B305" s="17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9"/>
      <c r="R305" s="20"/>
      <c r="S305" s="21"/>
      <c r="T305" s="22"/>
    </row>
    <row r="306" spans="1:20" ht="13.2" x14ac:dyDescent="0.25">
      <c r="A306" s="17"/>
      <c r="B306" s="17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9"/>
      <c r="R306" s="20"/>
      <c r="S306" s="21"/>
      <c r="T306" s="22"/>
    </row>
    <row r="307" spans="1:20" ht="13.2" x14ac:dyDescent="0.25">
      <c r="A307" s="17"/>
      <c r="B307" s="17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9"/>
      <c r="R307" s="20"/>
      <c r="S307" s="21"/>
      <c r="T307" s="22"/>
    </row>
    <row r="308" spans="1:20" ht="13.2" x14ac:dyDescent="0.25">
      <c r="A308" s="17"/>
      <c r="B308" s="17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9"/>
      <c r="R308" s="20"/>
      <c r="S308" s="21"/>
      <c r="T308" s="22"/>
    </row>
    <row r="309" spans="1:20" ht="13.2" x14ac:dyDescent="0.25">
      <c r="A309" s="17"/>
      <c r="B309" s="17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9"/>
      <c r="R309" s="20"/>
      <c r="S309" s="21"/>
      <c r="T309" s="22"/>
    </row>
    <row r="310" spans="1:20" ht="13.2" x14ac:dyDescent="0.25">
      <c r="A310" s="17"/>
      <c r="B310" s="17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9"/>
      <c r="R310" s="20"/>
      <c r="S310" s="21"/>
      <c r="T310" s="22"/>
    </row>
    <row r="311" spans="1:20" ht="13.2" x14ac:dyDescent="0.25">
      <c r="A311" s="17"/>
      <c r="B311" s="17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9"/>
      <c r="R311" s="20"/>
      <c r="S311" s="21"/>
      <c r="T311" s="22"/>
    </row>
    <row r="312" spans="1:20" ht="13.2" x14ac:dyDescent="0.25">
      <c r="A312" s="17"/>
      <c r="B312" s="17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9"/>
      <c r="R312" s="20"/>
      <c r="S312" s="21"/>
      <c r="T312" s="22"/>
    </row>
    <row r="313" spans="1:20" ht="13.2" x14ac:dyDescent="0.25">
      <c r="A313" s="17"/>
      <c r="B313" s="17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9"/>
      <c r="R313" s="20"/>
      <c r="S313" s="21"/>
      <c r="T313" s="22"/>
    </row>
    <row r="314" spans="1:20" ht="13.2" x14ac:dyDescent="0.25">
      <c r="A314" s="17"/>
      <c r="B314" s="17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9"/>
      <c r="R314" s="20"/>
      <c r="S314" s="21"/>
      <c r="T314" s="22"/>
    </row>
    <row r="315" spans="1:20" ht="13.2" x14ac:dyDescent="0.25">
      <c r="A315" s="17"/>
      <c r="B315" s="17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9"/>
      <c r="R315" s="20"/>
      <c r="S315" s="21"/>
      <c r="T315" s="22"/>
    </row>
    <row r="316" spans="1:20" ht="13.2" x14ac:dyDescent="0.25">
      <c r="A316" s="17"/>
      <c r="B316" s="17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9"/>
      <c r="R316" s="20"/>
      <c r="S316" s="21"/>
      <c r="T316" s="22"/>
    </row>
    <row r="317" spans="1:20" ht="13.2" x14ac:dyDescent="0.25">
      <c r="A317" s="17"/>
      <c r="B317" s="17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9"/>
      <c r="R317" s="20"/>
      <c r="S317" s="21"/>
      <c r="T317" s="22"/>
    </row>
    <row r="318" spans="1:20" ht="13.2" x14ac:dyDescent="0.25">
      <c r="A318" s="17"/>
      <c r="B318" s="17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9"/>
      <c r="R318" s="20"/>
      <c r="S318" s="21"/>
      <c r="T318" s="22"/>
    </row>
    <row r="319" spans="1:20" ht="13.2" x14ac:dyDescent="0.25">
      <c r="A319" s="17"/>
      <c r="B319" s="17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9"/>
      <c r="R319" s="20"/>
      <c r="S319" s="21"/>
      <c r="T319" s="22"/>
    </row>
    <row r="320" spans="1:20" ht="13.2" x14ac:dyDescent="0.25">
      <c r="A320" s="17"/>
      <c r="B320" s="17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9"/>
      <c r="R320" s="20"/>
      <c r="S320" s="21"/>
      <c r="T320" s="22"/>
    </row>
    <row r="321" spans="1:20" ht="13.2" x14ac:dyDescent="0.25">
      <c r="A321" s="17"/>
      <c r="B321" s="17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9"/>
      <c r="R321" s="20"/>
      <c r="S321" s="21"/>
      <c r="T321" s="22"/>
    </row>
    <row r="322" spans="1:20" ht="13.2" x14ac:dyDescent="0.25">
      <c r="A322" s="17"/>
      <c r="B322" s="17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9"/>
      <c r="R322" s="20"/>
      <c r="S322" s="21"/>
      <c r="T322" s="22"/>
    </row>
    <row r="323" spans="1:20" ht="13.2" x14ac:dyDescent="0.25">
      <c r="A323" s="17"/>
      <c r="B323" s="17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9"/>
      <c r="R323" s="20"/>
      <c r="S323" s="21"/>
      <c r="T323" s="22"/>
    </row>
    <row r="324" spans="1:20" ht="13.2" x14ac:dyDescent="0.25">
      <c r="A324" s="17"/>
      <c r="B324" s="17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9"/>
      <c r="R324" s="20"/>
      <c r="S324" s="21"/>
      <c r="T324" s="22"/>
    </row>
    <row r="325" spans="1:20" ht="13.2" x14ac:dyDescent="0.25">
      <c r="A325" s="17"/>
      <c r="B325" s="17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9"/>
      <c r="R325" s="20"/>
      <c r="S325" s="21"/>
      <c r="T325" s="22"/>
    </row>
    <row r="326" spans="1:20" ht="13.2" x14ac:dyDescent="0.25">
      <c r="A326" s="17"/>
      <c r="B326" s="17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9"/>
      <c r="R326" s="20"/>
      <c r="S326" s="21"/>
      <c r="T326" s="22"/>
    </row>
    <row r="327" spans="1:20" ht="13.2" x14ac:dyDescent="0.25">
      <c r="A327" s="17"/>
      <c r="B327" s="17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9"/>
      <c r="R327" s="20"/>
      <c r="S327" s="21"/>
      <c r="T327" s="22"/>
    </row>
    <row r="328" spans="1:20" ht="13.2" x14ac:dyDescent="0.25">
      <c r="A328" s="17"/>
      <c r="B328" s="17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9"/>
      <c r="R328" s="20"/>
      <c r="S328" s="21"/>
      <c r="T328" s="22"/>
    </row>
    <row r="329" spans="1:20" ht="13.2" x14ac:dyDescent="0.25">
      <c r="A329" s="17"/>
      <c r="B329" s="17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9"/>
      <c r="R329" s="20"/>
      <c r="S329" s="21"/>
      <c r="T329" s="22"/>
    </row>
    <row r="330" spans="1:20" ht="13.2" x14ac:dyDescent="0.25">
      <c r="A330" s="17"/>
      <c r="B330" s="17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9"/>
      <c r="R330" s="20"/>
      <c r="S330" s="21"/>
      <c r="T330" s="22"/>
    </row>
    <row r="331" spans="1:20" ht="13.2" x14ac:dyDescent="0.25">
      <c r="A331" s="17"/>
      <c r="B331" s="17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9"/>
      <c r="R331" s="20"/>
      <c r="S331" s="21"/>
      <c r="T331" s="22"/>
    </row>
    <row r="332" spans="1:20" ht="13.2" x14ac:dyDescent="0.25">
      <c r="A332" s="17"/>
      <c r="B332" s="17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9"/>
      <c r="R332" s="20"/>
      <c r="S332" s="21"/>
      <c r="T332" s="22"/>
    </row>
    <row r="333" spans="1:20" ht="13.2" x14ac:dyDescent="0.25">
      <c r="A333" s="17"/>
      <c r="B333" s="17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9"/>
      <c r="R333" s="20"/>
      <c r="S333" s="21"/>
      <c r="T333" s="22"/>
    </row>
    <row r="334" spans="1:20" ht="13.2" x14ac:dyDescent="0.25">
      <c r="A334" s="17"/>
      <c r="B334" s="17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9"/>
      <c r="R334" s="20"/>
      <c r="S334" s="21"/>
      <c r="T334" s="22"/>
    </row>
    <row r="335" spans="1:20" ht="13.2" x14ac:dyDescent="0.25">
      <c r="A335" s="17"/>
      <c r="B335" s="17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9"/>
      <c r="R335" s="20"/>
      <c r="S335" s="21"/>
      <c r="T335" s="22"/>
    </row>
    <row r="336" spans="1:20" ht="13.2" x14ac:dyDescent="0.25">
      <c r="A336" s="17"/>
      <c r="B336" s="17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9"/>
      <c r="R336" s="20"/>
      <c r="S336" s="21"/>
      <c r="T336" s="22"/>
    </row>
    <row r="337" spans="1:20" ht="13.2" x14ac:dyDescent="0.25">
      <c r="A337" s="17"/>
      <c r="B337" s="17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9"/>
      <c r="R337" s="20"/>
      <c r="S337" s="21"/>
      <c r="T337" s="22"/>
    </row>
    <row r="338" spans="1:20" ht="13.2" x14ac:dyDescent="0.25">
      <c r="A338" s="17"/>
      <c r="B338" s="17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9"/>
      <c r="R338" s="20"/>
      <c r="S338" s="21"/>
      <c r="T338" s="22"/>
    </row>
    <row r="339" spans="1:20" ht="13.2" x14ac:dyDescent="0.25">
      <c r="A339" s="17"/>
      <c r="B339" s="17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9"/>
      <c r="R339" s="20"/>
      <c r="S339" s="21"/>
      <c r="T339" s="22"/>
    </row>
    <row r="340" spans="1:20" ht="13.2" x14ac:dyDescent="0.25">
      <c r="A340" s="17"/>
      <c r="B340" s="17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9"/>
      <c r="R340" s="20"/>
      <c r="S340" s="21"/>
      <c r="T340" s="22"/>
    </row>
    <row r="341" spans="1:20" ht="13.2" x14ac:dyDescent="0.25">
      <c r="A341" s="17"/>
      <c r="B341" s="17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9"/>
      <c r="R341" s="20"/>
      <c r="S341" s="21"/>
      <c r="T341" s="22"/>
    </row>
    <row r="342" spans="1:20" ht="13.2" x14ac:dyDescent="0.25">
      <c r="A342" s="17"/>
      <c r="B342" s="17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9"/>
      <c r="R342" s="20"/>
      <c r="S342" s="21"/>
      <c r="T342" s="22"/>
    </row>
    <row r="343" spans="1:20" ht="13.2" x14ac:dyDescent="0.25">
      <c r="A343" s="17"/>
      <c r="B343" s="17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9"/>
      <c r="R343" s="20"/>
      <c r="S343" s="21"/>
      <c r="T343" s="22"/>
    </row>
    <row r="344" spans="1:20" ht="13.2" x14ac:dyDescent="0.25">
      <c r="A344" s="17"/>
      <c r="B344" s="17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9"/>
      <c r="R344" s="20"/>
      <c r="S344" s="21"/>
      <c r="T344" s="22"/>
    </row>
    <row r="345" spans="1:20" ht="13.2" x14ac:dyDescent="0.25">
      <c r="A345" s="17"/>
      <c r="B345" s="17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9"/>
      <c r="R345" s="20"/>
      <c r="S345" s="21"/>
      <c r="T345" s="22"/>
    </row>
    <row r="346" spans="1:20" ht="13.2" x14ac:dyDescent="0.25">
      <c r="A346" s="17"/>
      <c r="B346" s="17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9"/>
      <c r="R346" s="20"/>
      <c r="S346" s="21"/>
      <c r="T346" s="22"/>
    </row>
    <row r="347" spans="1:20" ht="13.2" x14ac:dyDescent="0.25">
      <c r="A347" s="17"/>
      <c r="B347" s="17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9"/>
      <c r="R347" s="20"/>
      <c r="S347" s="21"/>
      <c r="T347" s="22"/>
    </row>
    <row r="348" spans="1:20" ht="13.2" x14ac:dyDescent="0.25">
      <c r="A348" s="17"/>
      <c r="B348" s="17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9"/>
      <c r="R348" s="20"/>
      <c r="S348" s="21"/>
      <c r="T348" s="22"/>
    </row>
    <row r="349" spans="1:20" ht="13.2" x14ac:dyDescent="0.25">
      <c r="A349" s="17"/>
      <c r="B349" s="17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9"/>
      <c r="R349" s="20"/>
      <c r="S349" s="21"/>
      <c r="T349" s="22"/>
    </row>
    <row r="350" spans="1:20" ht="13.2" x14ac:dyDescent="0.25">
      <c r="A350" s="17"/>
      <c r="B350" s="17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9"/>
      <c r="R350" s="20"/>
      <c r="S350" s="21"/>
      <c r="T350" s="22"/>
    </row>
    <row r="351" spans="1:20" ht="13.2" x14ac:dyDescent="0.25">
      <c r="A351" s="17"/>
      <c r="B351" s="17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9"/>
      <c r="R351" s="20"/>
      <c r="S351" s="21"/>
      <c r="T351" s="22"/>
    </row>
    <row r="352" spans="1:20" ht="13.2" x14ac:dyDescent="0.25">
      <c r="A352" s="17"/>
      <c r="B352" s="17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9"/>
      <c r="R352" s="20"/>
      <c r="S352" s="21"/>
      <c r="T352" s="22"/>
    </row>
    <row r="353" spans="1:20" ht="13.2" x14ac:dyDescent="0.25">
      <c r="A353" s="17"/>
      <c r="B353" s="17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9"/>
      <c r="R353" s="20"/>
      <c r="S353" s="21"/>
      <c r="T353" s="22"/>
    </row>
    <row r="354" spans="1:20" ht="13.2" x14ac:dyDescent="0.25">
      <c r="A354" s="17"/>
      <c r="B354" s="17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9"/>
      <c r="R354" s="20"/>
      <c r="S354" s="21"/>
      <c r="T354" s="22"/>
    </row>
    <row r="355" spans="1:20" ht="13.2" x14ac:dyDescent="0.25">
      <c r="A355" s="17"/>
      <c r="B355" s="17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9"/>
      <c r="R355" s="20"/>
      <c r="S355" s="21"/>
      <c r="T355" s="22"/>
    </row>
    <row r="356" spans="1:20" ht="13.2" x14ac:dyDescent="0.25">
      <c r="A356" s="17"/>
      <c r="B356" s="17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9"/>
      <c r="R356" s="20"/>
      <c r="S356" s="21"/>
      <c r="T356" s="22"/>
    </row>
    <row r="357" spans="1:20" ht="13.2" x14ac:dyDescent="0.25">
      <c r="A357" s="17"/>
      <c r="B357" s="17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9"/>
      <c r="R357" s="20"/>
      <c r="S357" s="21"/>
      <c r="T357" s="22"/>
    </row>
    <row r="358" spans="1:20" ht="13.2" x14ac:dyDescent="0.25">
      <c r="A358" s="17"/>
      <c r="B358" s="17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9"/>
      <c r="R358" s="20"/>
      <c r="S358" s="21"/>
      <c r="T358" s="22"/>
    </row>
    <row r="359" spans="1:20" ht="13.2" x14ac:dyDescent="0.25">
      <c r="A359" s="17"/>
      <c r="B359" s="17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9"/>
      <c r="R359" s="20"/>
      <c r="S359" s="21"/>
      <c r="T359" s="22"/>
    </row>
    <row r="360" spans="1:20" ht="13.2" x14ac:dyDescent="0.25">
      <c r="A360" s="17"/>
      <c r="B360" s="17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9"/>
      <c r="R360" s="20"/>
      <c r="S360" s="21"/>
      <c r="T360" s="22"/>
    </row>
    <row r="361" spans="1:20" ht="13.2" x14ac:dyDescent="0.25">
      <c r="A361" s="17"/>
      <c r="B361" s="17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9"/>
      <c r="R361" s="20"/>
      <c r="S361" s="21"/>
      <c r="T361" s="22"/>
    </row>
    <row r="362" spans="1:20" ht="13.2" x14ac:dyDescent="0.25">
      <c r="A362" s="17"/>
      <c r="B362" s="17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9"/>
      <c r="R362" s="20"/>
      <c r="S362" s="21"/>
      <c r="T362" s="22"/>
    </row>
    <row r="363" spans="1:20" ht="13.2" x14ac:dyDescent="0.25">
      <c r="A363" s="17"/>
      <c r="B363" s="17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9"/>
      <c r="R363" s="20"/>
      <c r="S363" s="21"/>
      <c r="T363" s="22"/>
    </row>
    <row r="364" spans="1:20" ht="13.2" x14ac:dyDescent="0.25">
      <c r="A364" s="17"/>
      <c r="B364" s="17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9"/>
      <c r="R364" s="20"/>
      <c r="S364" s="21"/>
      <c r="T364" s="22"/>
    </row>
    <row r="365" spans="1:20" ht="13.2" x14ac:dyDescent="0.25">
      <c r="A365" s="17"/>
      <c r="B365" s="17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9"/>
      <c r="R365" s="20"/>
      <c r="S365" s="21"/>
      <c r="T365" s="22"/>
    </row>
    <row r="366" spans="1:20" ht="13.2" x14ac:dyDescent="0.25">
      <c r="A366" s="17"/>
      <c r="B366" s="17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9"/>
      <c r="R366" s="20"/>
      <c r="S366" s="21"/>
      <c r="T366" s="22"/>
    </row>
    <row r="367" spans="1:20" ht="13.2" x14ac:dyDescent="0.25">
      <c r="A367" s="17"/>
      <c r="B367" s="17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9"/>
      <c r="R367" s="20"/>
      <c r="S367" s="21"/>
      <c r="T367" s="22"/>
    </row>
    <row r="368" spans="1:20" ht="13.2" x14ac:dyDescent="0.25">
      <c r="A368" s="17"/>
      <c r="B368" s="17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9"/>
      <c r="R368" s="20"/>
      <c r="S368" s="21"/>
      <c r="T368" s="22"/>
    </row>
    <row r="369" spans="1:20" ht="13.2" x14ac:dyDescent="0.25">
      <c r="A369" s="17"/>
      <c r="B369" s="17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9"/>
      <c r="R369" s="20"/>
      <c r="S369" s="21"/>
      <c r="T369" s="22"/>
    </row>
    <row r="370" spans="1:20" ht="13.2" x14ac:dyDescent="0.25">
      <c r="A370" s="17"/>
      <c r="B370" s="17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9"/>
      <c r="R370" s="20"/>
      <c r="S370" s="21"/>
      <c r="T370" s="22"/>
    </row>
    <row r="371" spans="1:20" ht="13.2" x14ac:dyDescent="0.25">
      <c r="A371" s="17"/>
      <c r="B371" s="17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9"/>
      <c r="R371" s="20"/>
      <c r="S371" s="21"/>
      <c r="T371" s="22"/>
    </row>
    <row r="372" spans="1:20" ht="13.2" x14ac:dyDescent="0.25">
      <c r="A372" s="17"/>
      <c r="B372" s="17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9"/>
      <c r="R372" s="20"/>
      <c r="S372" s="21"/>
      <c r="T372" s="22"/>
    </row>
    <row r="373" spans="1:20" ht="13.2" x14ac:dyDescent="0.25">
      <c r="A373" s="17"/>
      <c r="B373" s="17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9"/>
      <c r="R373" s="20"/>
      <c r="S373" s="21"/>
      <c r="T373" s="22"/>
    </row>
    <row r="374" spans="1:20" ht="13.2" x14ac:dyDescent="0.25">
      <c r="A374" s="17"/>
      <c r="B374" s="17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9"/>
      <c r="R374" s="20"/>
      <c r="S374" s="21"/>
      <c r="T374" s="22"/>
    </row>
    <row r="375" spans="1:20" ht="13.2" x14ac:dyDescent="0.25">
      <c r="A375" s="17"/>
      <c r="B375" s="17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9"/>
      <c r="R375" s="20"/>
      <c r="S375" s="21"/>
      <c r="T375" s="22"/>
    </row>
    <row r="376" spans="1:20" ht="13.2" x14ac:dyDescent="0.25">
      <c r="A376" s="17"/>
      <c r="B376" s="17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9"/>
      <c r="R376" s="20"/>
      <c r="S376" s="21"/>
      <c r="T376" s="22"/>
    </row>
    <row r="377" spans="1:20" ht="13.2" x14ac:dyDescent="0.25">
      <c r="A377" s="17"/>
      <c r="B377" s="17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9"/>
      <c r="R377" s="20"/>
      <c r="S377" s="21"/>
      <c r="T377" s="22"/>
    </row>
    <row r="378" spans="1:20" ht="13.2" x14ac:dyDescent="0.25">
      <c r="A378" s="17"/>
      <c r="B378" s="17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9"/>
      <c r="R378" s="20"/>
      <c r="S378" s="21"/>
      <c r="T378" s="22"/>
    </row>
    <row r="379" spans="1:20" ht="13.2" x14ac:dyDescent="0.25">
      <c r="A379" s="17"/>
      <c r="B379" s="17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9"/>
      <c r="R379" s="20"/>
      <c r="S379" s="21"/>
      <c r="T379" s="22"/>
    </row>
    <row r="380" spans="1:20" ht="13.2" x14ac:dyDescent="0.25">
      <c r="A380" s="17"/>
      <c r="B380" s="17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9"/>
      <c r="R380" s="20"/>
      <c r="S380" s="21"/>
      <c r="T380" s="22"/>
    </row>
    <row r="381" spans="1:20" ht="13.2" x14ac:dyDescent="0.25">
      <c r="A381" s="17"/>
      <c r="B381" s="17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9"/>
      <c r="R381" s="20"/>
      <c r="S381" s="21"/>
      <c r="T381" s="22"/>
    </row>
    <row r="382" spans="1:20" ht="13.2" x14ac:dyDescent="0.25">
      <c r="A382" s="17"/>
      <c r="B382" s="17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9"/>
      <c r="R382" s="20"/>
      <c r="S382" s="21"/>
      <c r="T382" s="22"/>
    </row>
    <row r="383" spans="1:20" ht="13.2" x14ac:dyDescent="0.25">
      <c r="A383" s="17"/>
      <c r="B383" s="17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9"/>
      <c r="R383" s="20"/>
      <c r="S383" s="21"/>
      <c r="T383" s="22"/>
    </row>
    <row r="384" spans="1:20" ht="13.2" x14ac:dyDescent="0.25">
      <c r="A384" s="17"/>
      <c r="B384" s="17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9"/>
      <c r="R384" s="20"/>
      <c r="S384" s="21"/>
      <c r="T384" s="22"/>
    </row>
    <row r="385" spans="1:20" ht="13.2" x14ac:dyDescent="0.25">
      <c r="A385" s="17"/>
      <c r="B385" s="17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9"/>
      <c r="R385" s="20"/>
      <c r="S385" s="21"/>
      <c r="T385" s="22"/>
    </row>
    <row r="386" spans="1:20" ht="13.2" x14ac:dyDescent="0.25">
      <c r="A386" s="17"/>
      <c r="B386" s="17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9"/>
      <c r="R386" s="20"/>
      <c r="S386" s="21"/>
      <c r="T386" s="22"/>
    </row>
    <row r="387" spans="1:20" ht="13.2" x14ac:dyDescent="0.25">
      <c r="A387" s="17"/>
      <c r="B387" s="17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9"/>
      <c r="R387" s="20"/>
      <c r="S387" s="21"/>
      <c r="T387" s="22"/>
    </row>
    <row r="388" spans="1:20" ht="13.2" x14ac:dyDescent="0.25">
      <c r="A388" s="17"/>
      <c r="B388" s="17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9"/>
      <c r="R388" s="20"/>
      <c r="S388" s="21"/>
      <c r="T388" s="22"/>
    </row>
    <row r="389" spans="1:20" ht="13.2" x14ac:dyDescent="0.25">
      <c r="A389" s="17"/>
      <c r="B389" s="17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9"/>
      <c r="R389" s="20"/>
      <c r="S389" s="21"/>
      <c r="T389" s="22"/>
    </row>
    <row r="390" spans="1:20" ht="13.2" x14ac:dyDescent="0.25">
      <c r="A390" s="17"/>
      <c r="B390" s="17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9"/>
      <c r="R390" s="20"/>
      <c r="S390" s="21"/>
      <c r="T390" s="22"/>
    </row>
    <row r="391" spans="1:20" ht="13.2" x14ac:dyDescent="0.25">
      <c r="A391" s="17"/>
      <c r="B391" s="17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9"/>
      <c r="R391" s="20"/>
      <c r="S391" s="21"/>
      <c r="T391" s="22"/>
    </row>
    <row r="392" spans="1:20" ht="13.2" x14ac:dyDescent="0.25">
      <c r="A392" s="17"/>
      <c r="B392" s="17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9"/>
      <c r="R392" s="20"/>
      <c r="S392" s="21"/>
      <c r="T392" s="22"/>
    </row>
    <row r="393" spans="1:20" ht="13.2" x14ac:dyDescent="0.25">
      <c r="A393" s="17"/>
      <c r="B393" s="17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9"/>
      <c r="R393" s="20"/>
      <c r="S393" s="21"/>
      <c r="T393" s="22"/>
    </row>
    <row r="394" spans="1:20" ht="13.2" x14ac:dyDescent="0.25">
      <c r="A394" s="17"/>
      <c r="B394" s="17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9"/>
      <c r="R394" s="20"/>
      <c r="S394" s="21"/>
      <c r="T394" s="22"/>
    </row>
    <row r="395" spans="1:20" ht="13.2" x14ac:dyDescent="0.25">
      <c r="A395" s="17"/>
      <c r="B395" s="17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9"/>
      <c r="R395" s="20"/>
      <c r="S395" s="21"/>
      <c r="T395" s="22"/>
    </row>
    <row r="396" spans="1:20" ht="13.2" x14ac:dyDescent="0.25">
      <c r="A396" s="17"/>
      <c r="B396" s="17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9"/>
      <c r="R396" s="20"/>
      <c r="S396" s="21"/>
      <c r="T396" s="22"/>
    </row>
    <row r="397" spans="1:20" ht="13.2" x14ac:dyDescent="0.25">
      <c r="A397" s="17"/>
      <c r="B397" s="17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9"/>
      <c r="R397" s="20"/>
      <c r="S397" s="21"/>
      <c r="T397" s="22"/>
    </row>
    <row r="398" spans="1:20" ht="13.2" x14ac:dyDescent="0.25">
      <c r="A398" s="17"/>
      <c r="B398" s="17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9"/>
      <c r="R398" s="20"/>
      <c r="S398" s="21"/>
      <c r="T398" s="22"/>
    </row>
    <row r="399" spans="1:20" ht="13.2" x14ac:dyDescent="0.25">
      <c r="A399" s="17"/>
      <c r="B399" s="17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9"/>
      <c r="R399" s="20"/>
      <c r="S399" s="21"/>
      <c r="T399" s="22"/>
    </row>
    <row r="400" spans="1:20" ht="13.2" x14ac:dyDescent="0.25">
      <c r="A400" s="17"/>
      <c r="B400" s="17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9"/>
      <c r="R400" s="20"/>
      <c r="S400" s="21"/>
      <c r="T400" s="22"/>
    </row>
    <row r="401" spans="1:20" ht="13.2" x14ac:dyDescent="0.25">
      <c r="A401" s="17"/>
      <c r="B401" s="17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9"/>
      <c r="R401" s="20"/>
      <c r="S401" s="21"/>
      <c r="T401" s="22"/>
    </row>
    <row r="402" spans="1:20" ht="13.2" x14ac:dyDescent="0.25">
      <c r="A402" s="17"/>
      <c r="B402" s="17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9"/>
      <c r="R402" s="20"/>
      <c r="S402" s="21"/>
      <c r="T402" s="22"/>
    </row>
    <row r="403" spans="1:20" ht="13.2" x14ac:dyDescent="0.25">
      <c r="A403" s="17"/>
      <c r="B403" s="17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9"/>
      <c r="R403" s="20"/>
      <c r="S403" s="21"/>
      <c r="T403" s="22"/>
    </row>
    <row r="404" spans="1:20" ht="13.2" x14ac:dyDescent="0.25">
      <c r="A404" s="17"/>
      <c r="B404" s="17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9"/>
      <c r="R404" s="20"/>
      <c r="S404" s="21"/>
      <c r="T404" s="22"/>
    </row>
    <row r="405" spans="1:20" ht="13.2" x14ac:dyDescent="0.25">
      <c r="A405" s="17"/>
      <c r="B405" s="17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9"/>
      <c r="R405" s="20"/>
      <c r="S405" s="21"/>
      <c r="T405" s="22"/>
    </row>
    <row r="406" spans="1:20" ht="13.2" x14ac:dyDescent="0.25">
      <c r="A406" s="17"/>
      <c r="B406" s="17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9"/>
      <c r="R406" s="20"/>
      <c r="S406" s="21"/>
      <c r="T406" s="22"/>
    </row>
    <row r="407" spans="1:20" ht="13.2" x14ac:dyDescent="0.25">
      <c r="A407" s="17"/>
      <c r="B407" s="17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9"/>
      <c r="R407" s="20"/>
      <c r="S407" s="21"/>
      <c r="T407" s="22"/>
    </row>
    <row r="408" spans="1:20" ht="13.2" x14ac:dyDescent="0.25">
      <c r="A408" s="17"/>
      <c r="B408" s="17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9"/>
      <c r="R408" s="20"/>
      <c r="S408" s="21"/>
      <c r="T408" s="22"/>
    </row>
    <row r="409" spans="1:20" ht="13.2" x14ac:dyDescent="0.25">
      <c r="A409" s="17"/>
      <c r="B409" s="17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9"/>
      <c r="R409" s="20"/>
      <c r="S409" s="21"/>
      <c r="T409" s="22"/>
    </row>
    <row r="410" spans="1:20" ht="13.2" x14ac:dyDescent="0.25">
      <c r="A410" s="17"/>
      <c r="B410" s="17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9"/>
      <c r="R410" s="20"/>
      <c r="S410" s="21"/>
      <c r="T410" s="22"/>
    </row>
    <row r="411" spans="1:20" ht="13.2" x14ac:dyDescent="0.25">
      <c r="A411" s="17"/>
      <c r="B411" s="17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9"/>
      <c r="R411" s="20"/>
      <c r="S411" s="21"/>
      <c r="T411" s="22"/>
    </row>
    <row r="412" spans="1:20" ht="13.2" x14ac:dyDescent="0.25">
      <c r="A412" s="17"/>
      <c r="B412" s="17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9"/>
      <c r="R412" s="20"/>
      <c r="S412" s="21"/>
      <c r="T412" s="22"/>
    </row>
    <row r="413" spans="1:20" ht="13.2" x14ac:dyDescent="0.25">
      <c r="A413" s="17"/>
      <c r="B413" s="17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9"/>
      <c r="R413" s="20"/>
      <c r="S413" s="21"/>
      <c r="T413" s="22"/>
    </row>
    <row r="414" spans="1:20" ht="13.2" x14ac:dyDescent="0.25">
      <c r="A414" s="17"/>
      <c r="B414" s="17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9"/>
      <c r="R414" s="20"/>
      <c r="S414" s="21"/>
      <c r="T414" s="22"/>
    </row>
    <row r="415" spans="1:20" ht="13.2" x14ac:dyDescent="0.25">
      <c r="A415" s="17"/>
      <c r="B415" s="17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9"/>
      <c r="R415" s="20"/>
      <c r="S415" s="21"/>
      <c r="T415" s="22"/>
    </row>
    <row r="416" spans="1:20" ht="13.2" x14ac:dyDescent="0.25">
      <c r="A416" s="17"/>
      <c r="B416" s="17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9"/>
      <c r="R416" s="20"/>
      <c r="S416" s="21"/>
      <c r="T416" s="22"/>
    </row>
    <row r="417" spans="1:20" ht="13.2" x14ac:dyDescent="0.25">
      <c r="A417" s="17"/>
      <c r="B417" s="17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9"/>
      <c r="R417" s="20"/>
      <c r="S417" s="21"/>
      <c r="T417" s="22"/>
    </row>
    <row r="418" spans="1:20" ht="13.2" x14ac:dyDescent="0.25">
      <c r="A418" s="17"/>
      <c r="B418" s="17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9"/>
      <c r="R418" s="20"/>
      <c r="S418" s="21"/>
      <c r="T418" s="22"/>
    </row>
    <row r="419" spans="1:20" ht="13.2" x14ac:dyDescent="0.25">
      <c r="A419" s="17"/>
      <c r="B419" s="17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9"/>
      <c r="R419" s="20"/>
      <c r="S419" s="21"/>
      <c r="T419" s="22"/>
    </row>
    <row r="420" spans="1:20" ht="13.2" x14ac:dyDescent="0.25">
      <c r="A420" s="17"/>
      <c r="B420" s="17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9"/>
      <c r="R420" s="20"/>
      <c r="S420" s="21"/>
      <c r="T420" s="22"/>
    </row>
    <row r="421" spans="1:20" ht="13.2" x14ac:dyDescent="0.25">
      <c r="A421" s="17"/>
      <c r="B421" s="17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9"/>
      <c r="R421" s="20"/>
      <c r="S421" s="21"/>
      <c r="T421" s="22"/>
    </row>
    <row r="422" spans="1:20" ht="13.2" x14ac:dyDescent="0.25">
      <c r="A422" s="17"/>
      <c r="B422" s="17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9"/>
      <c r="R422" s="20"/>
      <c r="S422" s="21"/>
      <c r="T422" s="22"/>
    </row>
    <row r="423" spans="1:20" ht="13.2" x14ac:dyDescent="0.25">
      <c r="A423" s="17"/>
      <c r="B423" s="17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9"/>
      <c r="R423" s="20"/>
      <c r="S423" s="21"/>
      <c r="T423" s="22"/>
    </row>
    <row r="424" spans="1:20" ht="13.2" x14ac:dyDescent="0.25">
      <c r="A424" s="17"/>
      <c r="B424" s="17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9"/>
      <c r="R424" s="20"/>
      <c r="S424" s="21"/>
      <c r="T424" s="22"/>
    </row>
    <row r="425" spans="1:20" ht="13.2" x14ac:dyDescent="0.25">
      <c r="A425" s="17"/>
      <c r="B425" s="17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9"/>
      <c r="R425" s="20"/>
      <c r="S425" s="21"/>
      <c r="T425" s="22"/>
    </row>
    <row r="426" spans="1:20" ht="13.2" x14ac:dyDescent="0.25">
      <c r="A426" s="17"/>
      <c r="B426" s="17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9"/>
      <c r="R426" s="20"/>
      <c r="S426" s="21"/>
      <c r="T426" s="22"/>
    </row>
    <row r="427" spans="1:20" ht="13.2" x14ac:dyDescent="0.25">
      <c r="A427" s="17"/>
      <c r="B427" s="17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9"/>
      <c r="R427" s="20"/>
      <c r="S427" s="21"/>
      <c r="T427" s="22"/>
    </row>
    <row r="428" spans="1:20" ht="13.2" x14ac:dyDescent="0.25">
      <c r="A428" s="17"/>
      <c r="B428" s="17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9"/>
      <c r="R428" s="20"/>
      <c r="S428" s="21"/>
      <c r="T428" s="22"/>
    </row>
    <row r="429" spans="1:20" ht="13.2" x14ac:dyDescent="0.25">
      <c r="A429" s="17"/>
      <c r="B429" s="17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9"/>
      <c r="R429" s="20"/>
      <c r="S429" s="21"/>
      <c r="T429" s="22"/>
    </row>
    <row r="430" spans="1:20" ht="13.2" x14ac:dyDescent="0.25">
      <c r="A430" s="17"/>
      <c r="B430" s="17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9"/>
      <c r="R430" s="20"/>
      <c r="S430" s="21"/>
      <c r="T430" s="22"/>
    </row>
    <row r="431" spans="1:20" ht="13.2" x14ac:dyDescent="0.25">
      <c r="A431" s="17"/>
      <c r="B431" s="17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9"/>
      <c r="R431" s="20"/>
      <c r="S431" s="21"/>
      <c r="T431" s="22"/>
    </row>
    <row r="432" spans="1:20" ht="13.2" x14ac:dyDescent="0.25">
      <c r="A432" s="17"/>
      <c r="B432" s="17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9"/>
      <c r="R432" s="20"/>
      <c r="S432" s="21"/>
      <c r="T432" s="22"/>
    </row>
    <row r="433" spans="1:20" ht="13.2" x14ac:dyDescent="0.25">
      <c r="A433" s="17"/>
      <c r="B433" s="17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9"/>
      <c r="R433" s="20"/>
      <c r="S433" s="21"/>
      <c r="T433" s="22"/>
    </row>
    <row r="434" spans="1:20" ht="13.2" x14ac:dyDescent="0.25">
      <c r="A434" s="17"/>
      <c r="B434" s="17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9"/>
      <c r="R434" s="20"/>
      <c r="S434" s="21"/>
      <c r="T434" s="22"/>
    </row>
    <row r="435" spans="1:20" ht="13.2" x14ac:dyDescent="0.25">
      <c r="A435" s="17"/>
      <c r="B435" s="17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9"/>
      <c r="R435" s="20"/>
      <c r="S435" s="21"/>
      <c r="T435" s="22"/>
    </row>
    <row r="436" spans="1:20" ht="13.2" x14ac:dyDescent="0.25">
      <c r="A436" s="17"/>
      <c r="B436" s="17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9"/>
      <c r="R436" s="20"/>
      <c r="S436" s="21"/>
      <c r="T436" s="22"/>
    </row>
    <row r="437" spans="1:20" ht="13.2" x14ac:dyDescent="0.25">
      <c r="A437" s="17"/>
      <c r="B437" s="17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9"/>
      <c r="R437" s="20"/>
      <c r="S437" s="21"/>
      <c r="T437" s="22"/>
    </row>
    <row r="438" spans="1:20" ht="13.2" x14ac:dyDescent="0.25">
      <c r="A438" s="17"/>
      <c r="B438" s="17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9"/>
      <c r="R438" s="20"/>
      <c r="S438" s="21"/>
      <c r="T438" s="22"/>
    </row>
    <row r="439" spans="1:20" ht="13.2" x14ac:dyDescent="0.25">
      <c r="A439" s="17"/>
      <c r="B439" s="17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9"/>
      <c r="R439" s="20"/>
      <c r="S439" s="21"/>
      <c r="T439" s="22"/>
    </row>
    <row r="440" spans="1:20" ht="13.2" x14ac:dyDescent="0.25">
      <c r="A440" s="17"/>
      <c r="B440" s="17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9"/>
      <c r="R440" s="20"/>
      <c r="S440" s="21"/>
      <c r="T440" s="22"/>
    </row>
    <row r="441" spans="1:20" ht="13.2" x14ac:dyDescent="0.25">
      <c r="A441" s="17"/>
      <c r="B441" s="17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9"/>
      <c r="R441" s="20"/>
      <c r="S441" s="21"/>
      <c r="T441" s="22"/>
    </row>
    <row r="442" spans="1:20" ht="13.2" x14ac:dyDescent="0.25">
      <c r="A442" s="17"/>
      <c r="B442" s="17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9"/>
      <c r="R442" s="20"/>
      <c r="S442" s="21"/>
      <c r="T442" s="22"/>
    </row>
    <row r="443" spans="1:20" ht="13.2" x14ac:dyDescent="0.25">
      <c r="A443" s="17"/>
      <c r="B443" s="17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9"/>
      <c r="R443" s="20"/>
      <c r="S443" s="21"/>
      <c r="T443" s="22"/>
    </row>
    <row r="444" spans="1:20" ht="13.2" x14ac:dyDescent="0.25">
      <c r="A444" s="17"/>
      <c r="B444" s="17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9"/>
      <c r="R444" s="20"/>
      <c r="S444" s="21"/>
      <c r="T444" s="22"/>
    </row>
    <row r="445" spans="1:20" ht="13.2" x14ac:dyDescent="0.25">
      <c r="A445" s="17"/>
      <c r="B445" s="17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9"/>
      <c r="R445" s="20"/>
      <c r="S445" s="21"/>
      <c r="T445" s="22"/>
    </row>
    <row r="446" spans="1:20" ht="13.2" x14ac:dyDescent="0.25">
      <c r="A446" s="17"/>
      <c r="B446" s="17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9"/>
      <c r="R446" s="20"/>
      <c r="S446" s="21"/>
      <c r="T446" s="22"/>
    </row>
    <row r="447" spans="1:20" ht="13.2" x14ac:dyDescent="0.25">
      <c r="A447" s="17"/>
      <c r="B447" s="17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9"/>
      <c r="R447" s="20"/>
      <c r="S447" s="21"/>
      <c r="T447" s="22"/>
    </row>
    <row r="448" spans="1:20" ht="13.2" x14ac:dyDescent="0.25">
      <c r="A448" s="17"/>
      <c r="B448" s="17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9"/>
      <c r="R448" s="20"/>
      <c r="S448" s="21"/>
      <c r="T448" s="22"/>
    </row>
    <row r="449" spans="1:20" ht="13.2" x14ac:dyDescent="0.25">
      <c r="A449" s="17"/>
      <c r="B449" s="17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9"/>
      <c r="R449" s="20"/>
      <c r="S449" s="21"/>
      <c r="T449" s="22"/>
    </row>
    <row r="450" spans="1:20" ht="13.2" x14ac:dyDescent="0.25">
      <c r="A450" s="17"/>
      <c r="B450" s="17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9"/>
      <c r="R450" s="20"/>
      <c r="S450" s="21"/>
      <c r="T450" s="22"/>
    </row>
    <row r="451" spans="1:20" ht="13.2" x14ac:dyDescent="0.25">
      <c r="A451" s="17"/>
      <c r="B451" s="17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9"/>
      <c r="R451" s="20"/>
      <c r="S451" s="21"/>
      <c r="T451" s="22"/>
    </row>
    <row r="452" spans="1:20" ht="13.2" x14ac:dyDescent="0.25">
      <c r="A452" s="17"/>
      <c r="B452" s="17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9"/>
      <c r="R452" s="20"/>
      <c r="S452" s="21"/>
      <c r="T452" s="22"/>
    </row>
    <row r="453" spans="1:20" ht="13.2" x14ac:dyDescent="0.25">
      <c r="A453" s="17"/>
      <c r="B453" s="17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9"/>
      <c r="R453" s="20"/>
      <c r="S453" s="21"/>
      <c r="T453" s="22"/>
    </row>
    <row r="454" spans="1:20" ht="13.2" x14ac:dyDescent="0.25">
      <c r="A454" s="17"/>
      <c r="B454" s="17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9"/>
      <c r="R454" s="20"/>
      <c r="S454" s="21"/>
      <c r="T454" s="22"/>
    </row>
    <row r="455" spans="1:20" ht="13.2" x14ac:dyDescent="0.25">
      <c r="A455" s="17"/>
      <c r="B455" s="17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9"/>
      <c r="R455" s="20"/>
      <c r="S455" s="21"/>
      <c r="T455" s="22"/>
    </row>
    <row r="456" spans="1:20" ht="13.2" x14ac:dyDescent="0.25">
      <c r="A456" s="17"/>
      <c r="B456" s="17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9"/>
      <c r="R456" s="20"/>
      <c r="S456" s="21"/>
      <c r="T456" s="22"/>
    </row>
    <row r="457" spans="1:20" ht="13.2" x14ac:dyDescent="0.25">
      <c r="A457" s="17"/>
      <c r="B457" s="17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9"/>
      <c r="R457" s="20"/>
      <c r="S457" s="21"/>
      <c r="T457" s="22"/>
    </row>
    <row r="458" spans="1:20" ht="13.2" x14ac:dyDescent="0.25">
      <c r="A458" s="17"/>
      <c r="B458" s="17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9"/>
      <c r="R458" s="20"/>
      <c r="S458" s="21"/>
      <c r="T458" s="22"/>
    </row>
    <row r="459" spans="1:20" ht="13.2" x14ac:dyDescent="0.25">
      <c r="A459" s="17"/>
      <c r="B459" s="17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9"/>
      <c r="R459" s="20"/>
      <c r="S459" s="21"/>
      <c r="T459" s="22"/>
    </row>
    <row r="460" spans="1:20" ht="13.2" x14ac:dyDescent="0.25">
      <c r="A460" s="17"/>
      <c r="B460" s="17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9"/>
      <c r="R460" s="20"/>
      <c r="S460" s="21"/>
      <c r="T460" s="22"/>
    </row>
    <row r="461" spans="1:20" ht="13.2" x14ac:dyDescent="0.25">
      <c r="A461" s="17"/>
      <c r="B461" s="17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9"/>
      <c r="R461" s="20"/>
      <c r="S461" s="21"/>
      <c r="T461" s="22"/>
    </row>
    <row r="462" spans="1:20" ht="13.2" x14ac:dyDescent="0.25">
      <c r="A462" s="17"/>
      <c r="B462" s="17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9"/>
      <c r="R462" s="20"/>
      <c r="S462" s="21"/>
      <c r="T462" s="22"/>
    </row>
    <row r="463" spans="1:20" ht="13.2" x14ac:dyDescent="0.25">
      <c r="A463" s="17"/>
      <c r="B463" s="17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9"/>
      <c r="R463" s="20"/>
      <c r="S463" s="21"/>
      <c r="T463" s="22"/>
    </row>
    <row r="464" spans="1:20" ht="13.2" x14ac:dyDescent="0.25">
      <c r="A464" s="17"/>
      <c r="B464" s="17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9"/>
      <c r="R464" s="20"/>
      <c r="S464" s="21"/>
      <c r="T464" s="22"/>
    </row>
    <row r="465" spans="1:20" ht="13.2" x14ac:dyDescent="0.25">
      <c r="A465" s="17"/>
      <c r="B465" s="17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9"/>
      <c r="R465" s="20"/>
      <c r="S465" s="21"/>
      <c r="T465" s="22"/>
    </row>
    <row r="466" spans="1:20" ht="13.2" x14ac:dyDescent="0.25">
      <c r="A466" s="17"/>
      <c r="B466" s="17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9"/>
      <c r="R466" s="20"/>
      <c r="S466" s="21"/>
      <c r="T466" s="22"/>
    </row>
    <row r="467" spans="1:20" ht="13.2" x14ac:dyDescent="0.25">
      <c r="A467" s="17"/>
      <c r="B467" s="17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9"/>
      <c r="R467" s="20"/>
      <c r="S467" s="21"/>
      <c r="T467" s="22"/>
    </row>
    <row r="468" spans="1:20" ht="13.2" x14ac:dyDescent="0.25">
      <c r="A468" s="17"/>
      <c r="B468" s="17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9"/>
      <c r="R468" s="20"/>
      <c r="S468" s="21"/>
      <c r="T468" s="22"/>
    </row>
    <row r="469" spans="1:20" ht="13.2" x14ac:dyDescent="0.25">
      <c r="A469" s="17"/>
      <c r="B469" s="17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9"/>
      <c r="R469" s="20"/>
      <c r="S469" s="21"/>
      <c r="T469" s="22"/>
    </row>
    <row r="470" spans="1:20" ht="13.2" x14ac:dyDescent="0.25">
      <c r="A470" s="17"/>
      <c r="B470" s="17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9"/>
      <c r="R470" s="20"/>
      <c r="S470" s="21"/>
      <c r="T470" s="22"/>
    </row>
    <row r="471" spans="1:20" ht="13.2" x14ac:dyDescent="0.25">
      <c r="A471" s="17"/>
      <c r="B471" s="17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9"/>
      <c r="R471" s="20"/>
      <c r="S471" s="21"/>
      <c r="T471" s="22"/>
    </row>
    <row r="472" spans="1:20" ht="13.2" x14ac:dyDescent="0.25">
      <c r="A472" s="17"/>
      <c r="B472" s="17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9"/>
      <c r="R472" s="20"/>
      <c r="S472" s="21"/>
      <c r="T472" s="22"/>
    </row>
    <row r="473" spans="1:20" ht="13.2" x14ac:dyDescent="0.25">
      <c r="A473" s="17"/>
      <c r="B473" s="17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9"/>
      <c r="R473" s="20"/>
      <c r="S473" s="21"/>
      <c r="T473" s="22"/>
    </row>
    <row r="474" spans="1:20" ht="13.2" x14ac:dyDescent="0.25">
      <c r="A474" s="17"/>
      <c r="B474" s="17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9"/>
      <c r="R474" s="20"/>
      <c r="S474" s="21"/>
      <c r="T474" s="22"/>
    </row>
    <row r="475" spans="1:20" ht="13.2" x14ac:dyDescent="0.25">
      <c r="A475" s="17"/>
      <c r="B475" s="17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9"/>
      <c r="R475" s="20"/>
      <c r="S475" s="21"/>
      <c r="T475" s="22"/>
    </row>
    <row r="476" spans="1:20" ht="13.2" x14ac:dyDescent="0.25">
      <c r="A476" s="17"/>
      <c r="B476" s="17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9"/>
      <c r="R476" s="20"/>
      <c r="S476" s="21"/>
      <c r="T476" s="22"/>
    </row>
    <row r="477" spans="1:20" ht="13.2" x14ac:dyDescent="0.25">
      <c r="A477" s="17"/>
      <c r="B477" s="17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9"/>
      <c r="R477" s="20"/>
      <c r="S477" s="21"/>
      <c r="T477" s="22"/>
    </row>
    <row r="478" spans="1:20" ht="13.2" x14ac:dyDescent="0.25">
      <c r="A478" s="17"/>
      <c r="B478" s="17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9"/>
      <c r="R478" s="20"/>
      <c r="S478" s="21"/>
      <c r="T478" s="22"/>
    </row>
    <row r="479" spans="1:20" ht="13.2" x14ac:dyDescent="0.25">
      <c r="A479" s="17"/>
      <c r="B479" s="17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9"/>
      <c r="R479" s="20"/>
      <c r="S479" s="21"/>
      <c r="T479" s="22"/>
    </row>
    <row r="480" spans="1:20" ht="13.2" x14ac:dyDescent="0.25">
      <c r="A480" s="17"/>
      <c r="B480" s="17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9"/>
      <c r="R480" s="20"/>
      <c r="S480" s="21"/>
      <c r="T480" s="22"/>
    </row>
    <row r="481" spans="1:20" ht="13.2" x14ac:dyDescent="0.25">
      <c r="A481" s="17"/>
      <c r="B481" s="17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9"/>
      <c r="R481" s="20"/>
      <c r="S481" s="21"/>
      <c r="T481" s="22"/>
    </row>
    <row r="482" spans="1:20" ht="13.2" x14ac:dyDescent="0.25">
      <c r="A482" s="17"/>
      <c r="B482" s="17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9"/>
      <c r="R482" s="20"/>
      <c r="S482" s="21"/>
      <c r="T482" s="22"/>
    </row>
    <row r="483" spans="1:20" ht="13.2" x14ac:dyDescent="0.25">
      <c r="A483" s="17"/>
      <c r="B483" s="17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9"/>
      <c r="R483" s="20"/>
      <c r="S483" s="21"/>
      <c r="T483" s="22"/>
    </row>
    <row r="484" spans="1:20" ht="13.2" x14ac:dyDescent="0.25">
      <c r="A484" s="17"/>
      <c r="B484" s="17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9"/>
      <c r="R484" s="20"/>
      <c r="S484" s="21"/>
      <c r="T484" s="22"/>
    </row>
    <row r="485" spans="1:20" ht="13.2" x14ac:dyDescent="0.25">
      <c r="A485" s="17"/>
      <c r="B485" s="17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9"/>
      <c r="R485" s="20"/>
      <c r="S485" s="21"/>
      <c r="T485" s="22"/>
    </row>
    <row r="486" spans="1:20" ht="13.2" x14ac:dyDescent="0.25">
      <c r="A486" s="17"/>
      <c r="B486" s="17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9"/>
      <c r="R486" s="20"/>
      <c r="S486" s="21"/>
      <c r="T486" s="22"/>
    </row>
    <row r="487" spans="1:20" ht="13.2" x14ac:dyDescent="0.25">
      <c r="A487" s="17"/>
      <c r="B487" s="17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9"/>
      <c r="R487" s="20"/>
      <c r="S487" s="21"/>
      <c r="T487" s="22"/>
    </row>
    <row r="488" spans="1:20" ht="13.2" x14ac:dyDescent="0.25">
      <c r="A488" s="17"/>
      <c r="B488" s="17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9"/>
      <c r="R488" s="20"/>
      <c r="S488" s="21"/>
      <c r="T488" s="22"/>
    </row>
    <row r="489" spans="1:20" ht="13.2" x14ac:dyDescent="0.25">
      <c r="A489" s="17"/>
      <c r="B489" s="17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9"/>
      <c r="R489" s="20"/>
      <c r="S489" s="21"/>
      <c r="T489" s="22"/>
    </row>
    <row r="490" spans="1:20" ht="13.2" x14ac:dyDescent="0.25">
      <c r="A490" s="17"/>
      <c r="B490" s="17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9"/>
      <c r="R490" s="20"/>
      <c r="S490" s="21"/>
      <c r="T490" s="22"/>
    </row>
    <row r="491" spans="1:20" ht="13.2" x14ac:dyDescent="0.25">
      <c r="A491" s="17"/>
      <c r="B491" s="17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9"/>
      <c r="R491" s="20"/>
      <c r="S491" s="21"/>
      <c r="T491" s="22"/>
    </row>
    <row r="492" spans="1:20" ht="13.2" x14ac:dyDescent="0.25">
      <c r="A492" s="17"/>
      <c r="B492" s="17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9"/>
      <c r="R492" s="20"/>
      <c r="S492" s="21"/>
      <c r="T492" s="22"/>
    </row>
    <row r="493" spans="1:20" ht="13.2" x14ac:dyDescent="0.25">
      <c r="A493" s="17"/>
      <c r="B493" s="17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9"/>
      <c r="R493" s="20"/>
      <c r="S493" s="21"/>
      <c r="T493" s="22"/>
    </row>
    <row r="494" spans="1:20" ht="13.2" x14ac:dyDescent="0.25">
      <c r="A494" s="17"/>
      <c r="B494" s="17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9"/>
      <c r="R494" s="20"/>
      <c r="S494" s="21"/>
      <c r="T494" s="22"/>
    </row>
    <row r="495" spans="1:20" ht="13.2" x14ac:dyDescent="0.25">
      <c r="A495" s="17"/>
      <c r="B495" s="17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9"/>
      <c r="R495" s="20"/>
      <c r="S495" s="21"/>
      <c r="T495" s="22"/>
    </row>
    <row r="496" spans="1:20" ht="13.2" x14ac:dyDescent="0.25">
      <c r="A496" s="17"/>
      <c r="B496" s="17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9"/>
      <c r="R496" s="20"/>
      <c r="S496" s="21"/>
      <c r="T496" s="22"/>
    </row>
    <row r="497" spans="1:20" ht="13.2" x14ac:dyDescent="0.25">
      <c r="A497" s="17"/>
      <c r="B497" s="17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9"/>
      <c r="R497" s="20"/>
      <c r="S497" s="21"/>
      <c r="T497" s="22"/>
    </row>
    <row r="498" spans="1:20" ht="13.2" x14ac:dyDescent="0.25">
      <c r="A498" s="17"/>
      <c r="B498" s="17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9"/>
      <c r="R498" s="20"/>
      <c r="S498" s="21"/>
      <c r="T498" s="22"/>
    </row>
    <row r="499" spans="1:20" ht="13.2" x14ac:dyDescent="0.25">
      <c r="A499" s="17"/>
      <c r="B499" s="17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9"/>
      <c r="R499" s="20"/>
      <c r="S499" s="21"/>
      <c r="T499" s="22"/>
    </row>
    <row r="500" spans="1:20" ht="13.2" x14ac:dyDescent="0.25">
      <c r="A500" s="17"/>
      <c r="B500" s="17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9"/>
      <c r="R500" s="20"/>
      <c r="S500" s="21"/>
      <c r="T500" s="22"/>
    </row>
    <row r="501" spans="1:20" ht="13.2" x14ac:dyDescent="0.25">
      <c r="A501" s="17"/>
      <c r="B501" s="17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9"/>
      <c r="R501" s="20"/>
      <c r="S501" s="21"/>
      <c r="T501" s="22"/>
    </row>
    <row r="502" spans="1:20" ht="13.2" x14ac:dyDescent="0.25">
      <c r="A502" s="17"/>
      <c r="B502" s="17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9"/>
      <c r="R502" s="20"/>
      <c r="S502" s="21"/>
      <c r="T502" s="22"/>
    </row>
    <row r="503" spans="1:20" ht="13.2" x14ac:dyDescent="0.25">
      <c r="A503" s="17"/>
      <c r="B503" s="17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9"/>
      <c r="R503" s="20"/>
      <c r="S503" s="21"/>
      <c r="T503" s="22"/>
    </row>
    <row r="504" spans="1:20" ht="13.2" x14ac:dyDescent="0.25">
      <c r="A504" s="17"/>
      <c r="B504" s="17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9"/>
      <c r="R504" s="20"/>
      <c r="S504" s="21"/>
      <c r="T504" s="22"/>
    </row>
    <row r="505" spans="1:20" ht="13.2" x14ac:dyDescent="0.25">
      <c r="A505" s="17"/>
      <c r="B505" s="17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9"/>
      <c r="R505" s="20"/>
      <c r="S505" s="21"/>
      <c r="T505" s="22"/>
    </row>
    <row r="506" spans="1:20" ht="13.2" x14ac:dyDescent="0.25">
      <c r="A506" s="17"/>
      <c r="B506" s="17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9"/>
      <c r="R506" s="20"/>
      <c r="S506" s="21"/>
      <c r="T506" s="22"/>
    </row>
    <row r="507" spans="1:20" ht="13.2" x14ac:dyDescent="0.25">
      <c r="A507" s="17"/>
      <c r="B507" s="17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9"/>
      <c r="R507" s="20"/>
      <c r="S507" s="21"/>
      <c r="T507" s="22"/>
    </row>
    <row r="508" spans="1:20" ht="13.2" x14ac:dyDescent="0.25">
      <c r="A508" s="17"/>
      <c r="B508" s="17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9"/>
      <c r="R508" s="20"/>
      <c r="S508" s="21"/>
      <c r="T508" s="22"/>
    </row>
    <row r="509" spans="1:20" ht="13.2" x14ac:dyDescent="0.25">
      <c r="A509" s="17"/>
      <c r="B509" s="17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9"/>
      <c r="R509" s="20"/>
      <c r="S509" s="21"/>
      <c r="T509" s="22"/>
    </row>
    <row r="510" spans="1:20" ht="13.2" x14ac:dyDescent="0.25">
      <c r="A510" s="17"/>
      <c r="B510" s="17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9"/>
      <c r="R510" s="20"/>
      <c r="S510" s="21"/>
      <c r="T510" s="22"/>
    </row>
    <row r="511" spans="1:20" ht="13.2" x14ac:dyDescent="0.25">
      <c r="A511" s="17"/>
      <c r="B511" s="17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9"/>
      <c r="R511" s="20"/>
      <c r="S511" s="21"/>
      <c r="T511" s="22"/>
    </row>
    <row r="512" spans="1:20" ht="13.2" x14ac:dyDescent="0.25">
      <c r="A512" s="17"/>
      <c r="B512" s="17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9"/>
      <c r="R512" s="20"/>
      <c r="S512" s="21"/>
      <c r="T512" s="22"/>
    </row>
    <row r="513" spans="1:20" ht="13.2" x14ac:dyDescent="0.25">
      <c r="A513" s="17"/>
      <c r="B513" s="17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9"/>
      <c r="R513" s="20"/>
      <c r="S513" s="21"/>
      <c r="T513" s="22"/>
    </row>
    <row r="514" spans="1:20" ht="13.2" x14ac:dyDescent="0.25">
      <c r="A514" s="17"/>
      <c r="B514" s="17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9"/>
      <c r="R514" s="20"/>
      <c r="S514" s="21"/>
      <c r="T514" s="22"/>
    </row>
    <row r="515" spans="1:20" ht="13.2" x14ac:dyDescent="0.25">
      <c r="A515" s="17"/>
      <c r="B515" s="17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9"/>
      <c r="R515" s="20"/>
      <c r="S515" s="21"/>
      <c r="T515" s="22"/>
    </row>
    <row r="516" spans="1:20" ht="13.2" x14ac:dyDescent="0.25">
      <c r="A516" s="17"/>
      <c r="B516" s="17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9"/>
      <c r="R516" s="20"/>
      <c r="S516" s="21"/>
      <c r="T516" s="22"/>
    </row>
    <row r="517" spans="1:20" ht="13.2" x14ac:dyDescent="0.25">
      <c r="A517" s="17"/>
      <c r="B517" s="17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9"/>
      <c r="R517" s="20"/>
      <c r="S517" s="21"/>
      <c r="T517" s="22"/>
    </row>
    <row r="518" spans="1:20" ht="13.2" x14ac:dyDescent="0.25">
      <c r="A518" s="17"/>
      <c r="B518" s="17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9"/>
      <c r="R518" s="20"/>
      <c r="S518" s="21"/>
      <c r="T518" s="22"/>
    </row>
    <row r="519" spans="1:20" ht="13.2" x14ac:dyDescent="0.25">
      <c r="A519" s="17"/>
      <c r="B519" s="17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9"/>
      <c r="R519" s="20"/>
      <c r="S519" s="21"/>
      <c r="T519" s="22"/>
    </row>
    <row r="520" spans="1:20" ht="13.2" x14ac:dyDescent="0.25">
      <c r="A520" s="17"/>
      <c r="B520" s="17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9"/>
      <c r="R520" s="20"/>
      <c r="S520" s="21"/>
      <c r="T520" s="22"/>
    </row>
    <row r="521" spans="1:20" ht="13.2" x14ac:dyDescent="0.25">
      <c r="A521" s="17"/>
      <c r="B521" s="17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9"/>
      <c r="R521" s="20"/>
      <c r="S521" s="21"/>
      <c r="T521" s="22"/>
    </row>
    <row r="522" spans="1:20" ht="13.2" x14ac:dyDescent="0.25">
      <c r="A522" s="17"/>
      <c r="B522" s="17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9"/>
      <c r="R522" s="20"/>
      <c r="S522" s="21"/>
      <c r="T522" s="22"/>
    </row>
    <row r="523" spans="1:20" ht="13.2" x14ac:dyDescent="0.25">
      <c r="A523" s="17"/>
      <c r="B523" s="17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9"/>
      <c r="R523" s="20"/>
      <c r="S523" s="21"/>
      <c r="T523" s="22"/>
    </row>
    <row r="524" spans="1:20" ht="13.2" x14ac:dyDescent="0.25">
      <c r="A524" s="17"/>
      <c r="B524" s="17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9"/>
      <c r="R524" s="20"/>
      <c r="S524" s="21"/>
      <c r="T524" s="22"/>
    </row>
    <row r="525" spans="1:20" ht="13.2" x14ac:dyDescent="0.25">
      <c r="A525" s="17"/>
      <c r="B525" s="17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9"/>
      <c r="R525" s="20"/>
      <c r="S525" s="21"/>
      <c r="T525" s="22"/>
    </row>
    <row r="526" spans="1:20" ht="13.2" x14ac:dyDescent="0.25">
      <c r="A526" s="17"/>
      <c r="B526" s="17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9"/>
      <c r="R526" s="20"/>
      <c r="S526" s="21"/>
      <c r="T526" s="22"/>
    </row>
    <row r="527" spans="1:20" ht="13.2" x14ac:dyDescent="0.25">
      <c r="A527" s="17"/>
      <c r="B527" s="17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9"/>
      <c r="R527" s="20"/>
      <c r="S527" s="21"/>
      <c r="T527" s="22"/>
    </row>
    <row r="528" spans="1:20" ht="13.2" x14ac:dyDescent="0.25">
      <c r="A528" s="17"/>
      <c r="B528" s="17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9"/>
      <c r="R528" s="20"/>
      <c r="S528" s="21"/>
      <c r="T528" s="22"/>
    </row>
    <row r="529" spans="1:20" ht="13.2" x14ac:dyDescent="0.25">
      <c r="A529" s="17"/>
      <c r="B529" s="17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9"/>
      <c r="R529" s="20"/>
      <c r="S529" s="21"/>
      <c r="T529" s="22"/>
    </row>
    <row r="530" spans="1:20" ht="13.2" x14ac:dyDescent="0.25">
      <c r="A530" s="17"/>
      <c r="B530" s="17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9"/>
      <c r="R530" s="20"/>
      <c r="S530" s="21"/>
      <c r="T530" s="22"/>
    </row>
    <row r="531" spans="1:20" ht="13.2" x14ac:dyDescent="0.25">
      <c r="A531" s="17"/>
      <c r="B531" s="17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9"/>
      <c r="R531" s="20"/>
      <c r="S531" s="21"/>
      <c r="T531" s="22"/>
    </row>
    <row r="532" spans="1:20" ht="13.2" x14ac:dyDescent="0.25">
      <c r="A532" s="17"/>
      <c r="B532" s="17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9"/>
      <c r="R532" s="20"/>
      <c r="S532" s="21"/>
      <c r="T532" s="22"/>
    </row>
    <row r="533" spans="1:20" ht="13.2" x14ac:dyDescent="0.25">
      <c r="A533" s="17"/>
      <c r="B533" s="17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9"/>
      <c r="R533" s="20"/>
      <c r="S533" s="21"/>
      <c r="T533" s="22"/>
    </row>
    <row r="534" spans="1:20" ht="13.2" x14ac:dyDescent="0.25">
      <c r="A534" s="17"/>
      <c r="B534" s="17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9"/>
      <c r="R534" s="20"/>
      <c r="S534" s="21"/>
      <c r="T534" s="22"/>
    </row>
    <row r="535" spans="1:20" ht="13.2" x14ac:dyDescent="0.25">
      <c r="A535" s="17"/>
      <c r="B535" s="17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9"/>
      <c r="R535" s="20"/>
      <c r="S535" s="21"/>
      <c r="T535" s="22"/>
    </row>
    <row r="536" spans="1:20" ht="13.2" x14ac:dyDescent="0.25">
      <c r="A536" s="17"/>
      <c r="B536" s="17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9"/>
      <c r="R536" s="20"/>
      <c r="S536" s="21"/>
      <c r="T536" s="22"/>
    </row>
    <row r="537" spans="1:20" ht="13.2" x14ac:dyDescent="0.25">
      <c r="A537" s="17"/>
      <c r="B537" s="17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9"/>
      <c r="R537" s="20"/>
      <c r="S537" s="21"/>
      <c r="T537" s="22"/>
    </row>
    <row r="538" spans="1:20" ht="13.2" x14ac:dyDescent="0.25">
      <c r="A538" s="17"/>
      <c r="B538" s="17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9"/>
      <c r="R538" s="20"/>
      <c r="S538" s="21"/>
      <c r="T538" s="22"/>
    </row>
    <row r="539" spans="1:20" ht="13.2" x14ac:dyDescent="0.25">
      <c r="A539" s="17"/>
      <c r="B539" s="17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9"/>
      <c r="R539" s="20"/>
      <c r="S539" s="21"/>
      <c r="T539" s="22"/>
    </row>
    <row r="540" spans="1:20" ht="13.2" x14ac:dyDescent="0.25">
      <c r="A540" s="17"/>
      <c r="B540" s="17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9"/>
      <c r="R540" s="20"/>
      <c r="S540" s="21"/>
      <c r="T540" s="22"/>
    </row>
    <row r="541" spans="1:20" ht="13.2" x14ac:dyDescent="0.25">
      <c r="A541" s="17"/>
      <c r="B541" s="17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9"/>
      <c r="R541" s="20"/>
      <c r="S541" s="21"/>
      <c r="T541" s="22"/>
    </row>
    <row r="542" spans="1:20" ht="13.2" x14ac:dyDescent="0.25">
      <c r="A542" s="17"/>
      <c r="B542" s="17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9"/>
      <c r="R542" s="20"/>
      <c r="S542" s="21"/>
      <c r="T542" s="22"/>
    </row>
    <row r="543" spans="1:20" ht="13.2" x14ac:dyDescent="0.25">
      <c r="A543" s="17"/>
      <c r="B543" s="17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9"/>
      <c r="R543" s="20"/>
      <c r="S543" s="21"/>
      <c r="T543" s="22"/>
    </row>
    <row r="544" spans="1:20" ht="13.2" x14ac:dyDescent="0.25">
      <c r="A544" s="17"/>
      <c r="B544" s="17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9"/>
      <c r="R544" s="20"/>
      <c r="S544" s="21"/>
      <c r="T544" s="22"/>
    </row>
    <row r="545" spans="1:20" ht="13.2" x14ac:dyDescent="0.25">
      <c r="A545" s="17"/>
      <c r="B545" s="17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9"/>
      <c r="R545" s="20"/>
      <c r="S545" s="21"/>
      <c r="T545" s="22"/>
    </row>
    <row r="546" spans="1:20" ht="13.2" x14ac:dyDescent="0.25">
      <c r="A546" s="17"/>
      <c r="B546" s="17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9"/>
      <c r="R546" s="20"/>
      <c r="S546" s="21"/>
      <c r="T546" s="22"/>
    </row>
    <row r="547" spans="1:20" ht="13.2" x14ac:dyDescent="0.25">
      <c r="A547" s="17"/>
      <c r="B547" s="17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9"/>
      <c r="R547" s="20"/>
      <c r="S547" s="21"/>
      <c r="T547" s="22"/>
    </row>
    <row r="548" spans="1:20" ht="13.2" x14ac:dyDescent="0.25">
      <c r="A548" s="17"/>
      <c r="B548" s="17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9"/>
      <c r="R548" s="20"/>
      <c r="S548" s="21"/>
      <c r="T548" s="22"/>
    </row>
    <row r="549" spans="1:20" ht="13.2" x14ac:dyDescent="0.25">
      <c r="A549" s="17"/>
      <c r="B549" s="17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9"/>
      <c r="R549" s="20"/>
      <c r="S549" s="21"/>
      <c r="T549" s="22"/>
    </row>
    <row r="550" spans="1:20" ht="13.2" x14ac:dyDescent="0.25">
      <c r="A550" s="17"/>
      <c r="B550" s="17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9"/>
      <c r="R550" s="20"/>
      <c r="S550" s="21"/>
      <c r="T550" s="22"/>
    </row>
    <row r="551" spans="1:20" ht="13.2" x14ac:dyDescent="0.25">
      <c r="A551" s="17"/>
      <c r="B551" s="17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9"/>
      <c r="R551" s="20"/>
      <c r="S551" s="21"/>
      <c r="T551" s="22"/>
    </row>
    <row r="552" spans="1:20" ht="13.2" x14ac:dyDescent="0.25">
      <c r="A552" s="17"/>
      <c r="B552" s="17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9"/>
      <c r="R552" s="20"/>
      <c r="S552" s="21"/>
      <c r="T552" s="22"/>
    </row>
    <row r="553" spans="1:20" ht="13.2" x14ac:dyDescent="0.25">
      <c r="A553" s="17"/>
      <c r="B553" s="17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9"/>
      <c r="R553" s="20"/>
      <c r="S553" s="21"/>
      <c r="T553" s="22"/>
    </row>
    <row r="554" spans="1:20" ht="13.2" x14ac:dyDescent="0.25">
      <c r="A554" s="17"/>
      <c r="B554" s="17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9"/>
      <c r="R554" s="20"/>
      <c r="S554" s="21"/>
      <c r="T554" s="22"/>
    </row>
    <row r="555" spans="1:20" ht="13.2" x14ac:dyDescent="0.25">
      <c r="A555" s="17"/>
      <c r="B555" s="17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9"/>
      <c r="R555" s="20"/>
      <c r="S555" s="21"/>
      <c r="T555" s="22"/>
    </row>
    <row r="556" spans="1:20" ht="13.2" x14ac:dyDescent="0.25">
      <c r="A556" s="17"/>
      <c r="B556" s="17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9"/>
      <c r="R556" s="20"/>
      <c r="S556" s="21"/>
      <c r="T556" s="22"/>
    </row>
    <row r="557" spans="1:20" ht="13.2" x14ac:dyDescent="0.25">
      <c r="A557" s="17"/>
      <c r="B557" s="17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9"/>
      <c r="R557" s="20"/>
      <c r="S557" s="21"/>
      <c r="T557" s="22"/>
    </row>
    <row r="558" spans="1:20" ht="13.2" x14ac:dyDescent="0.25">
      <c r="A558" s="17"/>
      <c r="B558" s="17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9"/>
      <c r="R558" s="20"/>
      <c r="S558" s="21"/>
      <c r="T558" s="22"/>
    </row>
    <row r="559" spans="1:20" ht="13.2" x14ac:dyDescent="0.25">
      <c r="A559" s="17"/>
      <c r="B559" s="17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9"/>
      <c r="R559" s="20"/>
      <c r="S559" s="21"/>
      <c r="T559" s="22"/>
    </row>
    <row r="560" spans="1:20" ht="13.2" x14ac:dyDescent="0.25">
      <c r="A560" s="17"/>
      <c r="B560" s="17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9"/>
      <c r="R560" s="20"/>
      <c r="S560" s="21"/>
      <c r="T560" s="22"/>
    </row>
    <row r="561" spans="1:20" ht="13.2" x14ac:dyDescent="0.25">
      <c r="A561" s="17"/>
      <c r="B561" s="17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9"/>
      <c r="R561" s="20"/>
      <c r="S561" s="21"/>
      <c r="T561" s="22"/>
    </row>
    <row r="562" spans="1:20" ht="13.2" x14ac:dyDescent="0.25">
      <c r="A562" s="17"/>
      <c r="B562" s="17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9"/>
      <c r="R562" s="20"/>
      <c r="S562" s="21"/>
      <c r="T562" s="22"/>
    </row>
    <row r="563" spans="1:20" ht="13.2" x14ac:dyDescent="0.25">
      <c r="A563" s="17"/>
      <c r="B563" s="17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9"/>
      <c r="R563" s="20"/>
      <c r="S563" s="21"/>
      <c r="T563" s="22"/>
    </row>
    <row r="564" spans="1:20" ht="13.2" x14ac:dyDescent="0.25">
      <c r="A564" s="17"/>
      <c r="B564" s="17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9"/>
      <c r="R564" s="20"/>
      <c r="S564" s="21"/>
      <c r="T564" s="22"/>
    </row>
    <row r="565" spans="1:20" ht="13.2" x14ac:dyDescent="0.25">
      <c r="A565" s="17"/>
      <c r="B565" s="17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9"/>
      <c r="R565" s="20"/>
      <c r="S565" s="21"/>
      <c r="T565" s="22"/>
    </row>
    <row r="566" spans="1:20" ht="13.2" x14ac:dyDescent="0.25">
      <c r="A566" s="17"/>
      <c r="B566" s="17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9"/>
      <c r="R566" s="20"/>
      <c r="S566" s="21"/>
      <c r="T566" s="22"/>
    </row>
    <row r="567" spans="1:20" ht="13.2" x14ac:dyDescent="0.25">
      <c r="A567" s="17"/>
      <c r="B567" s="17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9"/>
      <c r="R567" s="20"/>
      <c r="S567" s="21"/>
      <c r="T567" s="22"/>
    </row>
    <row r="568" spans="1:20" ht="13.2" x14ac:dyDescent="0.25">
      <c r="A568" s="17"/>
      <c r="B568" s="17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9"/>
      <c r="R568" s="20"/>
      <c r="S568" s="21"/>
      <c r="T568" s="22"/>
    </row>
    <row r="569" spans="1:20" ht="13.2" x14ac:dyDescent="0.25">
      <c r="A569" s="17"/>
      <c r="B569" s="17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9"/>
      <c r="R569" s="20"/>
      <c r="S569" s="21"/>
      <c r="T569" s="22"/>
    </row>
    <row r="570" spans="1:20" ht="13.2" x14ac:dyDescent="0.25">
      <c r="A570" s="17"/>
      <c r="B570" s="17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9"/>
      <c r="R570" s="20"/>
      <c r="S570" s="21"/>
      <c r="T570" s="22"/>
    </row>
    <row r="571" spans="1:20" ht="13.2" x14ac:dyDescent="0.25">
      <c r="A571" s="17"/>
      <c r="B571" s="17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9"/>
      <c r="R571" s="20"/>
      <c r="S571" s="21"/>
      <c r="T571" s="22"/>
    </row>
    <row r="572" spans="1:20" ht="13.2" x14ac:dyDescent="0.25">
      <c r="A572" s="17"/>
      <c r="B572" s="17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9"/>
      <c r="R572" s="20"/>
      <c r="S572" s="21"/>
      <c r="T572" s="22"/>
    </row>
    <row r="573" spans="1:20" ht="13.2" x14ac:dyDescent="0.25">
      <c r="A573" s="17"/>
      <c r="B573" s="17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9"/>
      <c r="R573" s="20"/>
      <c r="S573" s="21"/>
      <c r="T573" s="22"/>
    </row>
    <row r="574" spans="1:20" ht="13.2" x14ac:dyDescent="0.25">
      <c r="A574" s="17"/>
      <c r="B574" s="17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9"/>
      <c r="R574" s="20"/>
      <c r="S574" s="21"/>
      <c r="T574" s="22"/>
    </row>
    <row r="575" spans="1:20" ht="13.2" x14ac:dyDescent="0.25">
      <c r="A575" s="17"/>
      <c r="B575" s="17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9"/>
      <c r="R575" s="20"/>
      <c r="S575" s="21"/>
      <c r="T575" s="22"/>
    </row>
    <row r="576" spans="1:20" ht="13.2" x14ac:dyDescent="0.25">
      <c r="A576" s="17"/>
      <c r="B576" s="17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9"/>
      <c r="R576" s="20"/>
      <c r="S576" s="21"/>
      <c r="T576" s="22"/>
    </row>
    <row r="577" spans="1:20" ht="13.2" x14ac:dyDescent="0.25">
      <c r="A577" s="17"/>
      <c r="B577" s="17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9"/>
      <c r="R577" s="20"/>
      <c r="S577" s="21"/>
      <c r="T577" s="22"/>
    </row>
    <row r="578" spans="1:20" ht="13.2" x14ac:dyDescent="0.25">
      <c r="A578" s="17"/>
      <c r="B578" s="17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9"/>
      <c r="R578" s="20"/>
      <c r="S578" s="21"/>
      <c r="T578" s="22"/>
    </row>
    <row r="579" spans="1:20" ht="13.2" x14ac:dyDescent="0.25">
      <c r="A579" s="17"/>
      <c r="B579" s="17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9"/>
      <c r="R579" s="20"/>
      <c r="S579" s="21"/>
      <c r="T579" s="22"/>
    </row>
    <row r="580" spans="1:20" ht="13.2" x14ac:dyDescent="0.25">
      <c r="A580" s="17"/>
      <c r="B580" s="17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9"/>
      <c r="R580" s="20"/>
      <c r="S580" s="21"/>
      <c r="T580" s="22"/>
    </row>
    <row r="581" spans="1:20" ht="13.2" x14ac:dyDescent="0.25">
      <c r="A581" s="17"/>
      <c r="B581" s="17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9"/>
      <c r="R581" s="20"/>
      <c r="S581" s="21"/>
      <c r="T581" s="22"/>
    </row>
    <row r="582" spans="1:20" ht="13.2" x14ac:dyDescent="0.25">
      <c r="A582" s="17"/>
      <c r="B582" s="17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9"/>
      <c r="R582" s="20"/>
      <c r="S582" s="21"/>
      <c r="T582" s="22"/>
    </row>
    <row r="583" spans="1:20" ht="13.2" x14ac:dyDescent="0.25">
      <c r="A583" s="17"/>
      <c r="B583" s="17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9"/>
      <c r="R583" s="20"/>
      <c r="S583" s="21"/>
      <c r="T583" s="22"/>
    </row>
    <row r="584" spans="1:20" ht="13.2" x14ac:dyDescent="0.25">
      <c r="A584" s="17"/>
      <c r="B584" s="17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9"/>
      <c r="R584" s="20"/>
      <c r="S584" s="21"/>
      <c r="T584" s="22"/>
    </row>
    <row r="585" spans="1:20" ht="13.2" x14ac:dyDescent="0.25">
      <c r="A585" s="17"/>
      <c r="B585" s="17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9"/>
      <c r="R585" s="20"/>
      <c r="S585" s="21"/>
      <c r="T585" s="22"/>
    </row>
    <row r="586" spans="1:20" ht="13.2" x14ac:dyDescent="0.25">
      <c r="A586" s="17"/>
      <c r="B586" s="17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9"/>
      <c r="R586" s="20"/>
      <c r="S586" s="21"/>
      <c r="T586" s="22"/>
    </row>
    <row r="587" spans="1:20" ht="13.2" x14ac:dyDescent="0.25">
      <c r="A587" s="17"/>
      <c r="B587" s="17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9"/>
      <c r="R587" s="20"/>
      <c r="S587" s="21"/>
      <c r="T587" s="22"/>
    </row>
    <row r="588" spans="1:20" ht="13.2" x14ac:dyDescent="0.25">
      <c r="A588" s="17"/>
      <c r="B588" s="17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9"/>
      <c r="R588" s="20"/>
      <c r="S588" s="21"/>
      <c r="T588" s="22"/>
    </row>
    <row r="589" spans="1:20" ht="13.2" x14ac:dyDescent="0.25">
      <c r="A589" s="17"/>
      <c r="B589" s="17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9"/>
      <c r="R589" s="20"/>
      <c r="S589" s="21"/>
      <c r="T589" s="22"/>
    </row>
    <row r="590" spans="1:20" ht="13.2" x14ac:dyDescent="0.25">
      <c r="A590" s="17"/>
      <c r="B590" s="17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9"/>
      <c r="R590" s="20"/>
      <c r="S590" s="21"/>
      <c r="T590" s="22"/>
    </row>
    <row r="591" spans="1:20" ht="13.2" x14ac:dyDescent="0.25">
      <c r="A591" s="17"/>
      <c r="B591" s="17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9"/>
      <c r="R591" s="20"/>
      <c r="S591" s="21"/>
      <c r="T591" s="22"/>
    </row>
    <row r="592" spans="1:20" ht="13.2" x14ac:dyDescent="0.25">
      <c r="A592" s="17"/>
      <c r="B592" s="17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9"/>
      <c r="R592" s="20"/>
      <c r="S592" s="21"/>
      <c r="T592" s="22"/>
    </row>
    <row r="593" spans="1:20" ht="13.2" x14ac:dyDescent="0.25">
      <c r="A593" s="17"/>
      <c r="B593" s="17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9"/>
      <c r="R593" s="20"/>
      <c r="S593" s="21"/>
      <c r="T593" s="22"/>
    </row>
    <row r="594" spans="1:20" ht="13.2" x14ac:dyDescent="0.25">
      <c r="A594" s="17"/>
      <c r="B594" s="17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9"/>
      <c r="R594" s="20"/>
      <c r="S594" s="21"/>
      <c r="T594" s="22"/>
    </row>
    <row r="595" spans="1:20" ht="13.2" x14ac:dyDescent="0.25">
      <c r="A595" s="17"/>
      <c r="B595" s="17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9"/>
      <c r="R595" s="20"/>
      <c r="S595" s="21"/>
      <c r="T595" s="22"/>
    </row>
    <row r="596" spans="1:20" ht="13.2" x14ac:dyDescent="0.25">
      <c r="A596" s="17"/>
      <c r="B596" s="17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9"/>
      <c r="R596" s="20"/>
      <c r="S596" s="21"/>
      <c r="T596" s="22"/>
    </row>
    <row r="597" spans="1:20" ht="13.2" x14ac:dyDescent="0.25">
      <c r="A597" s="17"/>
      <c r="B597" s="17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9"/>
      <c r="R597" s="20"/>
      <c r="S597" s="21"/>
      <c r="T597" s="22"/>
    </row>
    <row r="598" spans="1:20" ht="13.2" x14ac:dyDescent="0.25">
      <c r="A598" s="17"/>
      <c r="B598" s="17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9"/>
      <c r="R598" s="20"/>
      <c r="S598" s="21"/>
      <c r="T598" s="22"/>
    </row>
    <row r="599" spans="1:20" ht="13.2" x14ac:dyDescent="0.25">
      <c r="A599" s="17"/>
      <c r="B599" s="17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9"/>
      <c r="R599" s="20"/>
      <c r="S599" s="21"/>
      <c r="T599" s="22"/>
    </row>
    <row r="600" spans="1:20" ht="13.2" x14ac:dyDescent="0.25">
      <c r="A600" s="17"/>
      <c r="B600" s="17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9"/>
      <c r="R600" s="20"/>
      <c r="S600" s="21"/>
      <c r="T600" s="22"/>
    </row>
    <row r="601" spans="1:20" ht="13.2" x14ac:dyDescent="0.25">
      <c r="A601" s="17"/>
      <c r="B601" s="17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9"/>
      <c r="R601" s="20"/>
      <c r="S601" s="21"/>
      <c r="T601" s="22"/>
    </row>
    <row r="602" spans="1:20" ht="13.2" x14ac:dyDescent="0.25">
      <c r="A602" s="17"/>
      <c r="B602" s="17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9"/>
      <c r="R602" s="20"/>
      <c r="S602" s="21"/>
      <c r="T602" s="22"/>
    </row>
    <row r="603" spans="1:20" ht="13.2" x14ac:dyDescent="0.25">
      <c r="A603" s="17"/>
      <c r="B603" s="17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9"/>
      <c r="R603" s="20"/>
      <c r="S603" s="21"/>
      <c r="T603" s="22"/>
    </row>
    <row r="604" spans="1:20" ht="13.2" x14ac:dyDescent="0.25">
      <c r="A604" s="17"/>
      <c r="B604" s="17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9"/>
      <c r="R604" s="20"/>
      <c r="S604" s="21"/>
      <c r="T604" s="22"/>
    </row>
    <row r="605" spans="1:20" ht="13.2" x14ac:dyDescent="0.25">
      <c r="A605" s="17"/>
      <c r="B605" s="17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9"/>
      <c r="R605" s="20"/>
      <c r="S605" s="21"/>
      <c r="T605" s="22"/>
    </row>
    <row r="606" spans="1:20" ht="13.2" x14ac:dyDescent="0.25">
      <c r="A606" s="17"/>
      <c r="B606" s="17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9"/>
      <c r="R606" s="20"/>
      <c r="S606" s="21"/>
      <c r="T606" s="22"/>
    </row>
    <row r="607" spans="1:20" ht="13.2" x14ac:dyDescent="0.25">
      <c r="A607" s="17"/>
      <c r="B607" s="17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9"/>
      <c r="R607" s="20"/>
      <c r="S607" s="21"/>
      <c r="T607" s="22"/>
    </row>
    <row r="608" spans="1:20" ht="13.2" x14ac:dyDescent="0.25">
      <c r="A608" s="17"/>
      <c r="B608" s="17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9"/>
      <c r="R608" s="20"/>
      <c r="S608" s="21"/>
      <c r="T608" s="22"/>
    </row>
    <row r="609" spans="1:20" ht="13.2" x14ac:dyDescent="0.25">
      <c r="A609" s="17"/>
      <c r="B609" s="17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9"/>
      <c r="R609" s="20"/>
      <c r="S609" s="21"/>
      <c r="T609" s="22"/>
    </row>
    <row r="610" spans="1:20" ht="13.2" x14ac:dyDescent="0.25">
      <c r="A610" s="17"/>
      <c r="B610" s="17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9"/>
      <c r="R610" s="20"/>
      <c r="S610" s="21"/>
      <c r="T610" s="22"/>
    </row>
    <row r="611" spans="1:20" ht="13.2" x14ac:dyDescent="0.25">
      <c r="A611" s="17"/>
      <c r="B611" s="17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9"/>
      <c r="R611" s="20"/>
      <c r="S611" s="21"/>
      <c r="T611" s="22"/>
    </row>
    <row r="612" spans="1:20" ht="13.2" x14ac:dyDescent="0.25">
      <c r="A612" s="17"/>
      <c r="B612" s="17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9"/>
      <c r="R612" s="20"/>
      <c r="S612" s="21"/>
      <c r="T612" s="22"/>
    </row>
    <row r="613" spans="1:20" ht="13.2" x14ac:dyDescent="0.25">
      <c r="A613" s="17"/>
      <c r="B613" s="17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9"/>
      <c r="R613" s="20"/>
      <c r="S613" s="21"/>
      <c r="T613" s="22"/>
    </row>
    <row r="614" spans="1:20" ht="13.2" x14ac:dyDescent="0.25">
      <c r="A614" s="17"/>
      <c r="B614" s="17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9"/>
      <c r="R614" s="20"/>
      <c r="S614" s="21"/>
      <c r="T614" s="22"/>
    </row>
    <row r="615" spans="1:20" ht="13.2" x14ac:dyDescent="0.25">
      <c r="A615" s="17"/>
      <c r="B615" s="17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9"/>
      <c r="R615" s="20"/>
      <c r="S615" s="21"/>
      <c r="T615" s="22"/>
    </row>
    <row r="616" spans="1:20" ht="13.2" x14ac:dyDescent="0.25">
      <c r="A616" s="17"/>
      <c r="B616" s="17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9"/>
      <c r="R616" s="20"/>
      <c r="S616" s="21"/>
      <c r="T616" s="22"/>
    </row>
    <row r="617" spans="1:20" ht="13.2" x14ac:dyDescent="0.25">
      <c r="A617" s="17"/>
      <c r="B617" s="17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9"/>
      <c r="R617" s="20"/>
      <c r="S617" s="21"/>
      <c r="T617" s="22"/>
    </row>
    <row r="618" spans="1:20" ht="13.2" x14ac:dyDescent="0.25">
      <c r="A618" s="17"/>
      <c r="B618" s="17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9"/>
      <c r="R618" s="20"/>
      <c r="S618" s="21"/>
      <c r="T618" s="22"/>
    </row>
    <row r="619" spans="1:20" ht="13.2" x14ac:dyDescent="0.25">
      <c r="A619" s="17"/>
      <c r="B619" s="17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9"/>
      <c r="R619" s="20"/>
      <c r="S619" s="21"/>
      <c r="T619" s="22"/>
    </row>
    <row r="620" spans="1:20" ht="13.2" x14ac:dyDescent="0.25">
      <c r="A620" s="17"/>
      <c r="B620" s="17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9"/>
      <c r="R620" s="20"/>
      <c r="S620" s="21"/>
      <c r="T620" s="22"/>
    </row>
    <row r="621" spans="1:20" ht="13.2" x14ac:dyDescent="0.25">
      <c r="A621" s="17"/>
      <c r="B621" s="17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9"/>
      <c r="R621" s="20"/>
      <c r="S621" s="21"/>
      <c r="T621" s="22"/>
    </row>
    <row r="622" spans="1:20" ht="13.2" x14ac:dyDescent="0.25">
      <c r="A622" s="17"/>
      <c r="B622" s="17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9"/>
      <c r="R622" s="20"/>
      <c r="S622" s="21"/>
      <c r="T622" s="22"/>
    </row>
    <row r="623" spans="1:20" ht="13.2" x14ac:dyDescent="0.25">
      <c r="A623" s="17"/>
      <c r="B623" s="17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9"/>
      <c r="R623" s="20"/>
      <c r="S623" s="21"/>
      <c r="T623" s="22"/>
    </row>
    <row r="624" spans="1:20" ht="13.2" x14ac:dyDescent="0.25">
      <c r="A624" s="17"/>
      <c r="B624" s="17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9"/>
      <c r="R624" s="20"/>
      <c r="S624" s="21"/>
      <c r="T624" s="22"/>
    </row>
    <row r="625" spans="1:20" ht="13.2" x14ac:dyDescent="0.25">
      <c r="A625" s="17"/>
      <c r="B625" s="17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9"/>
      <c r="R625" s="20"/>
      <c r="S625" s="21"/>
      <c r="T625" s="22"/>
    </row>
    <row r="626" spans="1:20" ht="13.2" x14ac:dyDescent="0.25">
      <c r="A626" s="17"/>
      <c r="B626" s="17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9"/>
      <c r="R626" s="20"/>
      <c r="S626" s="21"/>
      <c r="T626" s="22"/>
    </row>
    <row r="627" spans="1:20" ht="13.2" x14ac:dyDescent="0.25">
      <c r="A627" s="17"/>
      <c r="B627" s="17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9"/>
      <c r="R627" s="20"/>
      <c r="S627" s="21"/>
      <c r="T627" s="22"/>
    </row>
    <row r="628" spans="1:20" ht="13.2" x14ac:dyDescent="0.25">
      <c r="A628" s="17"/>
      <c r="B628" s="17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9"/>
      <c r="R628" s="20"/>
      <c r="S628" s="21"/>
      <c r="T628" s="22"/>
    </row>
    <row r="629" spans="1:20" ht="13.2" x14ac:dyDescent="0.25">
      <c r="A629" s="17"/>
      <c r="B629" s="17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9"/>
      <c r="R629" s="20"/>
      <c r="S629" s="21"/>
      <c r="T629" s="22"/>
    </row>
    <row r="630" spans="1:20" ht="13.2" x14ac:dyDescent="0.25">
      <c r="A630" s="17"/>
      <c r="B630" s="17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9"/>
      <c r="R630" s="20"/>
      <c r="S630" s="21"/>
      <c r="T630" s="22"/>
    </row>
    <row r="631" spans="1:20" ht="13.2" x14ac:dyDescent="0.25">
      <c r="A631" s="17"/>
      <c r="B631" s="17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9"/>
      <c r="R631" s="20"/>
      <c r="S631" s="21"/>
      <c r="T631" s="22"/>
    </row>
    <row r="632" spans="1:20" ht="13.2" x14ac:dyDescent="0.25">
      <c r="A632" s="17"/>
      <c r="B632" s="17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9"/>
      <c r="R632" s="20"/>
      <c r="S632" s="21"/>
      <c r="T632" s="22"/>
    </row>
    <row r="633" spans="1:20" ht="13.2" x14ac:dyDescent="0.25">
      <c r="A633" s="17"/>
      <c r="B633" s="17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9"/>
      <c r="R633" s="20"/>
      <c r="S633" s="21"/>
      <c r="T633" s="22"/>
    </row>
    <row r="634" spans="1:20" ht="13.2" x14ac:dyDescent="0.25">
      <c r="A634" s="17"/>
      <c r="B634" s="17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9"/>
      <c r="R634" s="20"/>
      <c r="S634" s="21"/>
      <c r="T634" s="22"/>
    </row>
    <row r="635" spans="1:20" ht="13.2" x14ac:dyDescent="0.25">
      <c r="A635" s="17"/>
      <c r="B635" s="17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9"/>
      <c r="R635" s="20"/>
      <c r="S635" s="21"/>
      <c r="T635" s="22"/>
    </row>
    <row r="636" spans="1:20" ht="13.2" x14ac:dyDescent="0.25">
      <c r="A636" s="17"/>
      <c r="B636" s="17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9"/>
      <c r="R636" s="20"/>
      <c r="S636" s="21"/>
      <c r="T636" s="22"/>
    </row>
    <row r="637" spans="1:20" ht="13.2" x14ac:dyDescent="0.25">
      <c r="A637" s="17"/>
      <c r="B637" s="17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9"/>
      <c r="R637" s="20"/>
      <c r="S637" s="21"/>
      <c r="T637" s="22"/>
    </row>
    <row r="638" spans="1:20" ht="13.2" x14ac:dyDescent="0.25">
      <c r="A638" s="17"/>
      <c r="B638" s="17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9"/>
      <c r="R638" s="20"/>
      <c r="S638" s="21"/>
      <c r="T638" s="22"/>
    </row>
    <row r="639" spans="1:20" ht="13.2" x14ac:dyDescent="0.25">
      <c r="A639" s="17"/>
      <c r="B639" s="17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9"/>
      <c r="R639" s="20"/>
      <c r="S639" s="21"/>
      <c r="T639" s="22"/>
    </row>
    <row r="640" spans="1:20" ht="13.2" x14ac:dyDescent="0.25">
      <c r="A640" s="17"/>
      <c r="B640" s="17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9"/>
      <c r="R640" s="20"/>
      <c r="S640" s="21"/>
      <c r="T640" s="22"/>
    </row>
    <row r="641" spans="1:20" ht="13.2" x14ac:dyDescent="0.25">
      <c r="A641" s="17"/>
      <c r="B641" s="17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9"/>
      <c r="R641" s="20"/>
      <c r="S641" s="21"/>
      <c r="T641" s="22"/>
    </row>
    <row r="642" spans="1:20" ht="13.2" x14ac:dyDescent="0.25">
      <c r="A642" s="17"/>
      <c r="B642" s="17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9"/>
      <c r="R642" s="20"/>
      <c r="S642" s="21"/>
      <c r="T642" s="22"/>
    </row>
    <row r="643" spans="1:20" ht="13.2" x14ac:dyDescent="0.25">
      <c r="A643" s="17"/>
      <c r="B643" s="17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9"/>
      <c r="R643" s="20"/>
      <c r="S643" s="21"/>
      <c r="T643" s="22"/>
    </row>
    <row r="644" spans="1:20" ht="13.2" x14ac:dyDescent="0.25">
      <c r="A644" s="17"/>
      <c r="B644" s="17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9"/>
      <c r="R644" s="20"/>
      <c r="S644" s="21"/>
      <c r="T644" s="22"/>
    </row>
    <row r="645" spans="1:20" ht="13.2" x14ac:dyDescent="0.25">
      <c r="A645" s="17"/>
      <c r="B645" s="17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9"/>
      <c r="R645" s="20"/>
      <c r="S645" s="21"/>
      <c r="T645" s="22"/>
    </row>
    <row r="646" spans="1:20" ht="13.2" x14ac:dyDescent="0.25">
      <c r="A646" s="17"/>
      <c r="B646" s="17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9"/>
      <c r="R646" s="20"/>
      <c r="S646" s="21"/>
      <c r="T646" s="22"/>
    </row>
    <row r="647" spans="1:20" ht="13.2" x14ac:dyDescent="0.25">
      <c r="A647" s="17"/>
      <c r="B647" s="17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9"/>
      <c r="R647" s="20"/>
      <c r="S647" s="21"/>
      <c r="T647" s="22"/>
    </row>
    <row r="648" spans="1:20" ht="13.2" x14ac:dyDescent="0.25">
      <c r="A648" s="17"/>
      <c r="B648" s="17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9"/>
      <c r="R648" s="20"/>
      <c r="S648" s="21"/>
      <c r="T648" s="22"/>
    </row>
    <row r="649" spans="1:20" ht="13.2" x14ac:dyDescent="0.25">
      <c r="A649" s="17"/>
      <c r="B649" s="17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9"/>
      <c r="R649" s="20"/>
      <c r="S649" s="21"/>
      <c r="T649" s="22"/>
    </row>
    <row r="650" spans="1:20" ht="13.2" x14ac:dyDescent="0.25">
      <c r="A650" s="17"/>
      <c r="B650" s="17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9"/>
      <c r="R650" s="20"/>
      <c r="S650" s="21"/>
      <c r="T650" s="22"/>
    </row>
    <row r="651" spans="1:20" ht="13.2" x14ac:dyDescent="0.25">
      <c r="A651" s="17"/>
      <c r="B651" s="17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9"/>
      <c r="R651" s="20"/>
      <c r="S651" s="21"/>
      <c r="T651" s="22"/>
    </row>
    <row r="652" spans="1:20" ht="13.2" x14ac:dyDescent="0.25">
      <c r="A652" s="17"/>
      <c r="B652" s="17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9"/>
      <c r="R652" s="20"/>
      <c r="S652" s="21"/>
      <c r="T652" s="22"/>
    </row>
    <row r="653" spans="1:20" ht="13.2" x14ac:dyDescent="0.25">
      <c r="A653" s="17"/>
      <c r="B653" s="17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9"/>
      <c r="R653" s="20"/>
      <c r="S653" s="21"/>
      <c r="T653" s="22"/>
    </row>
    <row r="654" spans="1:20" ht="13.2" x14ac:dyDescent="0.25">
      <c r="A654" s="17"/>
      <c r="B654" s="17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9"/>
      <c r="R654" s="20"/>
      <c r="S654" s="21"/>
      <c r="T654" s="22"/>
    </row>
    <row r="655" spans="1:20" ht="13.2" x14ac:dyDescent="0.25">
      <c r="A655" s="17"/>
      <c r="B655" s="17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9"/>
      <c r="R655" s="20"/>
      <c r="S655" s="21"/>
      <c r="T655" s="22"/>
    </row>
    <row r="656" spans="1:20" ht="13.2" x14ac:dyDescent="0.25">
      <c r="A656" s="17"/>
      <c r="B656" s="17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9"/>
      <c r="R656" s="20"/>
      <c r="S656" s="21"/>
      <c r="T656" s="22"/>
    </row>
    <row r="657" spans="1:20" ht="13.2" x14ac:dyDescent="0.25">
      <c r="A657" s="17"/>
      <c r="B657" s="17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9"/>
      <c r="R657" s="20"/>
      <c r="S657" s="21"/>
      <c r="T657" s="22"/>
    </row>
    <row r="658" spans="1:20" ht="13.2" x14ac:dyDescent="0.25">
      <c r="A658" s="17"/>
      <c r="B658" s="17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9"/>
      <c r="R658" s="20"/>
      <c r="S658" s="21"/>
      <c r="T658" s="22"/>
    </row>
    <row r="659" spans="1:20" ht="13.2" x14ac:dyDescent="0.25">
      <c r="A659" s="17"/>
      <c r="B659" s="17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9"/>
      <c r="R659" s="20"/>
      <c r="S659" s="21"/>
      <c r="T659" s="22"/>
    </row>
    <row r="660" spans="1:20" ht="13.2" x14ac:dyDescent="0.25">
      <c r="A660" s="17"/>
      <c r="B660" s="17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9"/>
      <c r="R660" s="20"/>
      <c r="S660" s="21"/>
      <c r="T660" s="22"/>
    </row>
    <row r="661" spans="1:20" ht="13.2" x14ac:dyDescent="0.25">
      <c r="A661" s="17"/>
      <c r="B661" s="17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9"/>
      <c r="R661" s="20"/>
      <c r="S661" s="21"/>
      <c r="T661" s="22"/>
    </row>
    <row r="662" spans="1:20" ht="13.2" x14ac:dyDescent="0.25">
      <c r="A662" s="17"/>
      <c r="B662" s="17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9"/>
      <c r="R662" s="20"/>
      <c r="S662" s="21"/>
      <c r="T662" s="22"/>
    </row>
    <row r="663" spans="1:20" ht="13.2" x14ac:dyDescent="0.25">
      <c r="A663" s="17"/>
      <c r="B663" s="17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9"/>
      <c r="R663" s="20"/>
      <c r="S663" s="21"/>
      <c r="T663" s="22"/>
    </row>
    <row r="664" spans="1:20" ht="13.2" x14ac:dyDescent="0.25">
      <c r="A664" s="17"/>
      <c r="B664" s="17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9"/>
      <c r="R664" s="20"/>
      <c r="S664" s="21"/>
      <c r="T664" s="22"/>
    </row>
    <row r="665" spans="1:20" ht="13.2" x14ac:dyDescent="0.25">
      <c r="A665" s="17"/>
      <c r="B665" s="17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9"/>
      <c r="R665" s="20"/>
      <c r="S665" s="21"/>
      <c r="T665" s="22"/>
    </row>
    <row r="666" spans="1:20" ht="13.2" x14ac:dyDescent="0.25">
      <c r="A666" s="17"/>
      <c r="B666" s="17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9"/>
      <c r="R666" s="20"/>
      <c r="S666" s="21"/>
      <c r="T666" s="22"/>
    </row>
    <row r="667" spans="1:20" ht="13.2" x14ac:dyDescent="0.25">
      <c r="A667" s="17"/>
      <c r="B667" s="17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9"/>
      <c r="R667" s="20"/>
      <c r="S667" s="21"/>
      <c r="T667" s="22"/>
    </row>
    <row r="668" spans="1:20" ht="13.2" x14ac:dyDescent="0.25">
      <c r="A668" s="17"/>
      <c r="B668" s="17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9"/>
      <c r="R668" s="20"/>
      <c r="S668" s="21"/>
      <c r="T668" s="22"/>
    </row>
    <row r="669" spans="1:20" ht="13.2" x14ac:dyDescent="0.25">
      <c r="A669" s="17"/>
      <c r="B669" s="17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9"/>
      <c r="R669" s="20"/>
      <c r="S669" s="21"/>
      <c r="T669" s="22"/>
    </row>
    <row r="670" spans="1:20" ht="13.2" x14ac:dyDescent="0.25">
      <c r="A670" s="17"/>
      <c r="B670" s="17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9"/>
      <c r="R670" s="20"/>
      <c r="S670" s="21"/>
      <c r="T670" s="22"/>
    </row>
    <row r="671" spans="1:20" ht="13.2" x14ac:dyDescent="0.25">
      <c r="A671" s="17"/>
      <c r="B671" s="17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9"/>
      <c r="R671" s="20"/>
      <c r="S671" s="21"/>
      <c r="T671" s="22"/>
    </row>
    <row r="672" spans="1:20" ht="13.2" x14ac:dyDescent="0.25">
      <c r="A672" s="17"/>
      <c r="B672" s="17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9"/>
      <c r="R672" s="20"/>
      <c r="S672" s="21"/>
      <c r="T672" s="22"/>
    </row>
    <row r="673" spans="1:20" ht="13.2" x14ac:dyDescent="0.25">
      <c r="A673" s="17"/>
      <c r="B673" s="17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9"/>
      <c r="R673" s="20"/>
      <c r="S673" s="21"/>
      <c r="T673" s="22"/>
    </row>
    <row r="674" spans="1:20" ht="13.2" x14ac:dyDescent="0.25">
      <c r="A674" s="17"/>
      <c r="B674" s="17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9"/>
      <c r="R674" s="20"/>
      <c r="S674" s="21"/>
      <c r="T674" s="22"/>
    </row>
    <row r="675" spans="1:20" ht="13.2" x14ac:dyDescent="0.25">
      <c r="A675" s="17"/>
      <c r="B675" s="17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9"/>
      <c r="R675" s="20"/>
      <c r="S675" s="21"/>
      <c r="T675" s="22"/>
    </row>
    <row r="676" spans="1:20" ht="13.2" x14ac:dyDescent="0.25">
      <c r="A676" s="17"/>
      <c r="B676" s="17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9"/>
      <c r="R676" s="20"/>
      <c r="S676" s="21"/>
      <c r="T676" s="22"/>
    </row>
    <row r="677" spans="1:20" ht="13.2" x14ac:dyDescent="0.25">
      <c r="A677" s="17"/>
      <c r="B677" s="17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9"/>
      <c r="R677" s="20"/>
      <c r="S677" s="21"/>
      <c r="T677" s="22"/>
    </row>
    <row r="678" spans="1:20" ht="13.2" x14ac:dyDescent="0.25">
      <c r="A678" s="17"/>
      <c r="B678" s="17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9"/>
      <c r="R678" s="20"/>
      <c r="S678" s="21"/>
      <c r="T678" s="22"/>
    </row>
    <row r="679" spans="1:20" ht="13.2" x14ac:dyDescent="0.25">
      <c r="A679" s="17"/>
      <c r="B679" s="17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9"/>
      <c r="R679" s="20"/>
      <c r="S679" s="21"/>
      <c r="T679" s="22"/>
    </row>
    <row r="680" spans="1:20" ht="13.2" x14ac:dyDescent="0.25">
      <c r="A680" s="17"/>
      <c r="B680" s="17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9"/>
      <c r="R680" s="20"/>
      <c r="S680" s="21"/>
      <c r="T680" s="22"/>
    </row>
    <row r="681" spans="1:20" ht="13.2" x14ac:dyDescent="0.25">
      <c r="A681" s="17"/>
      <c r="B681" s="17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9"/>
      <c r="R681" s="20"/>
      <c r="S681" s="21"/>
      <c r="T681" s="22"/>
    </row>
    <row r="682" spans="1:20" ht="13.2" x14ac:dyDescent="0.25">
      <c r="A682" s="17"/>
      <c r="B682" s="17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9"/>
      <c r="R682" s="20"/>
      <c r="S682" s="21"/>
      <c r="T682" s="22"/>
    </row>
    <row r="683" spans="1:20" ht="13.2" x14ac:dyDescent="0.25">
      <c r="A683" s="17"/>
      <c r="B683" s="17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9"/>
      <c r="R683" s="20"/>
      <c r="S683" s="21"/>
      <c r="T683" s="22"/>
    </row>
    <row r="684" spans="1:20" ht="13.2" x14ac:dyDescent="0.25">
      <c r="A684" s="17"/>
      <c r="B684" s="17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9"/>
      <c r="R684" s="20"/>
      <c r="S684" s="21"/>
      <c r="T684" s="22"/>
    </row>
    <row r="685" spans="1:20" ht="13.2" x14ac:dyDescent="0.25">
      <c r="A685" s="17"/>
      <c r="B685" s="17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9"/>
      <c r="R685" s="20"/>
      <c r="S685" s="21"/>
      <c r="T685" s="22"/>
    </row>
    <row r="686" spans="1:20" ht="13.2" x14ac:dyDescent="0.25">
      <c r="A686" s="17"/>
      <c r="B686" s="17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9"/>
      <c r="R686" s="20"/>
      <c r="S686" s="21"/>
      <c r="T686" s="22"/>
    </row>
    <row r="687" spans="1:20" ht="13.2" x14ac:dyDescent="0.25">
      <c r="A687" s="17"/>
      <c r="B687" s="17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9"/>
      <c r="R687" s="20"/>
      <c r="S687" s="21"/>
      <c r="T687" s="22"/>
    </row>
    <row r="688" spans="1:20" ht="13.2" x14ac:dyDescent="0.25">
      <c r="A688" s="17"/>
      <c r="B688" s="17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9"/>
      <c r="R688" s="20"/>
      <c r="S688" s="21"/>
      <c r="T688" s="22"/>
    </row>
    <row r="689" spans="1:20" ht="13.2" x14ac:dyDescent="0.25">
      <c r="A689" s="17"/>
      <c r="B689" s="17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9"/>
      <c r="R689" s="20"/>
      <c r="S689" s="21"/>
      <c r="T689" s="22"/>
    </row>
    <row r="690" spans="1:20" ht="13.2" x14ac:dyDescent="0.25">
      <c r="A690" s="17"/>
      <c r="B690" s="17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9"/>
      <c r="R690" s="20"/>
      <c r="S690" s="21"/>
      <c r="T690" s="22"/>
    </row>
    <row r="691" spans="1:20" ht="13.2" x14ac:dyDescent="0.25">
      <c r="A691" s="17"/>
      <c r="B691" s="17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9"/>
      <c r="R691" s="20"/>
      <c r="S691" s="21"/>
      <c r="T691" s="22"/>
    </row>
    <row r="692" spans="1:20" ht="13.2" x14ac:dyDescent="0.25">
      <c r="A692" s="17"/>
      <c r="B692" s="17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9"/>
      <c r="R692" s="20"/>
      <c r="S692" s="21"/>
      <c r="T692" s="22"/>
    </row>
    <row r="693" spans="1:20" ht="13.2" x14ac:dyDescent="0.25">
      <c r="A693" s="17"/>
      <c r="B693" s="17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9"/>
      <c r="R693" s="20"/>
      <c r="S693" s="21"/>
      <c r="T693" s="22"/>
    </row>
    <row r="694" spans="1:20" ht="13.2" x14ac:dyDescent="0.25">
      <c r="A694" s="17"/>
      <c r="B694" s="17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9"/>
      <c r="R694" s="20"/>
      <c r="S694" s="21"/>
      <c r="T694" s="22"/>
    </row>
    <row r="695" spans="1:20" ht="13.2" x14ac:dyDescent="0.25">
      <c r="A695" s="17"/>
      <c r="B695" s="17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9"/>
      <c r="R695" s="20"/>
      <c r="S695" s="21"/>
      <c r="T695" s="22"/>
    </row>
    <row r="696" spans="1:20" ht="13.2" x14ac:dyDescent="0.25">
      <c r="A696" s="17"/>
      <c r="B696" s="17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9"/>
      <c r="R696" s="20"/>
      <c r="S696" s="21"/>
      <c r="T696" s="22"/>
    </row>
    <row r="697" spans="1:20" ht="13.2" x14ac:dyDescent="0.25">
      <c r="A697" s="17"/>
      <c r="B697" s="17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9"/>
      <c r="R697" s="20"/>
      <c r="S697" s="21"/>
      <c r="T697" s="22"/>
    </row>
    <row r="698" spans="1:20" ht="13.2" x14ac:dyDescent="0.25">
      <c r="A698" s="17"/>
      <c r="B698" s="17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9"/>
      <c r="R698" s="20"/>
      <c r="S698" s="21"/>
      <c r="T698" s="22"/>
    </row>
    <row r="699" spans="1:20" ht="13.2" x14ac:dyDescent="0.25">
      <c r="A699" s="17"/>
      <c r="B699" s="17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9"/>
      <c r="R699" s="20"/>
      <c r="S699" s="21"/>
      <c r="T699" s="22"/>
    </row>
    <row r="700" spans="1:20" ht="13.2" x14ac:dyDescent="0.25">
      <c r="A700" s="17"/>
      <c r="B700" s="17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9"/>
      <c r="R700" s="20"/>
      <c r="S700" s="21"/>
      <c r="T700" s="22"/>
    </row>
    <row r="701" spans="1:20" ht="13.2" x14ac:dyDescent="0.25">
      <c r="A701" s="17"/>
      <c r="B701" s="17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9"/>
      <c r="R701" s="20"/>
      <c r="S701" s="21"/>
      <c r="T701" s="22"/>
    </row>
    <row r="702" spans="1:20" ht="13.2" x14ac:dyDescent="0.25">
      <c r="A702" s="17"/>
      <c r="B702" s="17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9"/>
      <c r="R702" s="20"/>
      <c r="S702" s="21"/>
      <c r="T702" s="22"/>
    </row>
    <row r="703" spans="1:20" ht="13.2" x14ac:dyDescent="0.25">
      <c r="A703" s="17"/>
      <c r="B703" s="17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9"/>
      <c r="R703" s="20"/>
      <c r="S703" s="21"/>
      <c r="T703" s="22"/>
    </row>
    <row r="704" spans="1:20" ht="13.2" x14ac:dyDescent="0.25">
      <c r="A704" s="17"/>
      <c r="B704" s="17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9"/>
      <c r="R704" s="20"/>
      <c r="S704" s="21"/>
      <c r="T704" s="22"/>
    </row>
    <row r="705" spans="1:20" ht="13.2" x14ac:dyDescent="0.25">
      <c r="A705" s="17"/>
      <c r="B705" s="17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9"/>
      <c r="R705" s="20"/>
      <c r="S705" s="21"/>
      <c r="T705" s="22"/>
    </row>
    <row r="706" spans="1:20" ht="13.2" x14ac:dyDescent="0.25">
      <c r="A706" s="17"/>
      <c r="B706" s="17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9"/>
      <c r="R706" s="20"/>
      <c r="S706" s="21"/>
      <c r="T706" s="22"/>
    </row>
    <row r="707" spans="1:20" ht="13.2" x14ac:dyDescent="0.25">
      <c r="A707" s="17"/>
      <c r="B707" s="17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9"/>
      <c r="R707" s="20"/>
      <c r="S707" s="21"/>
      <c r="T707" s="22"/>
    </row>
    <row r="708" spans="1:20" ht="13.2" x14ac:dyDescent="0.25">
      <c r="A708" s="17"/>
      <c r="B708" s="17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9"/>
      <c r="R708" s="20"/>
      <c r="S708" s="21"/>
      <c r="T708" s="22"/>
    </row>
    <row r="709" spans="1:20" ht="13.2" x14ac:dyDescent="0.25">
      <c r="A709" s="17"/>
      <c r="B709" s="17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9"/>
      <c r="R709" s="20"/>
      <c r="S709" s="21"/>
      <c r="T709" s="22"/>
    </row>
    <row r="710" spans="1:20" ht="13.2" x14ac:dyDescent="0.25">
      <c r="A710" s="17"/>
      <c r="B710" s="17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9"/>
      <c r="R710" s="20"/>
      <c r="S710" s="21"/>
      <c r="T710" s="22"/>
    </row>
    <row r="711" spans="1:20" ht="13.2" x14ac:dyDescent="0.25">
      <c r="A711" s="17"/>
      <c r="B711" s="17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9"/>
      <c r="R711" s="20"/>
      <c r="S711" s="21"/>
      <c r="T711" s="22"/>
    </row>
    <row r="712" spans="1:20" ht="13.2" x14ac:dyDescent="0.25">
      <c r="A712" s="17"/>
      <c r="B712" s="17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9"/>
      <c r="R712" s="20"/>
      <c r="S712" s="21"/>
      <c r="T712" s="22"/>
    </row>
    <row r="713" spans="1:20" ht="13.2" x14ac:dyDescent="0.25">
      <c r="A713" s="17"/>
      <c r="B713" s="17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9"/>
      <c r="R713" s="20"/>
      <c r="S713" s="21"/>
      <c r="T713" s="22"/>
    </row>
    <row r="714" spans="1:20" ht="13.2" x14ac:dyDescent="0.25">
      <c r="A714" s="17"/>
      <c r="B714" s="17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9"/>
      <c r="R714" s="20"/>
      <c r="S714" s="21"/>
      <c r="T714" s="22"/>
    </row>
    <row r="715" spans="1:20" ht="13.2" x14ac:dyDescent="0.25">
      <c r="A715" s="17"/>
      <c r="B715" s="17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9"/>
      <c r="R715" s="20"/>
      <c r="S715" s="21"/>
      <c r="T715" s="22"/>
    </row>
    <row r="716" spans="1:20" ht="13.2" x14ac:dyDescent="0.25">
      <c r="A716" s="17"/>
      <c r="B716" s="17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9"/>
      <c r="R716" s="20"/>
      <c r="S716" s="21"/>
      <c r="T716" s="22"/>
    </row>
    <row r="717" spans="1:20" ht="13.2" x14ac:dyDescent="0.25">
      <c r="A717" s="17"/>
      <c r="B717" s="17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9"/>
      <c r="R717" s="20"/>
      <c r="S717" s="21"/>
      <c r="T717" s="22"/>
    </row>
    <row r="718" spans="1:20" ht="13.2" x14ac:dyDescent="0.25">
      <c r="A718" s="17"/>
      <c r="B718" s="17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9"/>
      <c r="R718" s="20"/>
      <c r="S718" s="21"/>
      <c r="T718" s="22"/>
    </row>
    <row r="719" spans="1:20" ht="13.2" x14ac:dyDescent="0.25">
      <c r="A719" s="17"/>
      <c r="B719" s="17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9"/>
      <c r="R719" s="20"/>
      <c r="S719" s="21"/>
      <c r="T719" s="22"/>
    </row>
    <row r="720" spans="1:20" ht="13.2" x14ac:dyDescent="0.25">
      <c r="A720" s="17"/>
      <c r="B720" s="17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9"/>
      <c r="R720" s="20"/>
      <c r="S720" s="21"/>
      <c r="T720" s="22"/>
    </row>
    <row r="721" spans="1:20" ht="13.2" x14ac:dyDescent="0.25">
      <c r="A721" s="17"/>
      <c r="B721" s="17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9"/>
      <c r="R721" s="20"/>
      <c r="S721" s="21"/>
      <c r="T721" s="22"/>
    </row>
    <row r="722" spans="1:20" ht="13.2" x14ac:dyDescent="0.25">
      <c r="A722" s="17"/>
      <c r="B722" s="17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9"/>
      <c r="R722" s="20"/>
      <c r="S722" s="21"/>
      <c r="T722" s="22"/>
    </row>
    <row r="723" spans="1:20" ht="13.2" x14ac:dyDescent="0.25">
      <c r="A723" s="17"/>
      <c r="B723" s="17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9"/>
      <c r="R723" s="20"/>
      <c r="S723" s="21"/>
      <c r="T723" s="22"/>
    </row>
    <row r="724" spans="1:20" ht="13.2" x14ac:dyDescent="0.25">
      <c r="A724" s="17"/>
      <c r="B724" s="17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9"/>
      <c r="R724" s="20"/>
      <c r="S724" s="21"/>
      <c r="T724" s="22"/>
    </row>
    <row r="725" spans="1:20" ht="13.2" x14ac:dyDescent="0.25">
      <c r="A725" s="17"/>
      <c r="B725" s="17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9"/>
      <c r="R725" s="20"/>
      <c r="S725" s="21"/>
      <c r="T725" s="22"/>
    </row>
    <row r="726" spans="1:20" ht="13.2" x14ac:dyDescent="0.25">
      <c r="A726" s="17"/>
      <c r="B726" s="17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9"/>
      <c r="R726" s="20"/>
      <c r="S726" s="21"/>
      <c r="T726" s="22"/>
    </row>
    <row r="727" spans="1:20" ht="13.2" x14ac:dyDescent="0.25">
      <c r="A727" s="17"/>
      <c r="B727" s="17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9"/>
      <c r="R727" s="20"/>
      <c r="S727" s="21"/>
      <c r="T727" s="22"/>
    </row>
    <row r="728" spans="1:20" ht="13.2" x14ac:dyDescent="0.25">
      <c r="A728" s="17"/>
      <c r="B728" s="17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9"/>
      <c r="R728" s="20"/>
      <c r="S728" s="21"/>
      <c r="T728" s="22"/>
    </row>
    <row r="729" spans="1:20" ht="13.2" x14ac:dyDescent="0.25">
      <c r="A729" s="17"/>
      <c r="B729" s="17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9"/>
      <c r="R729" s="20"/>
      <c r="S729" s="21"/>
      <c r="T729" s="22"/>
    </row>
    <row r="730" spans="1:20" ht="13.2" x14ac:dyDescent="0.25">
      <c r="A730" s="17"/>
      <c r="B730" s="17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9"/>
      <c r="R730" s="20"/>
      <c r="S730" s="21"/>
      <c r="T730" s="22"/>
    </row>
    <row r="731" spans="1:20" ht="13.2" x14ac:dyDescent="0.25">
      <c r="A731" s="17"/>
      <c r="B731" s="17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9"/>
      <c r="R731" s="20"/>
      <c r="S731" s="21"/>
      <c r="T731" s="22"/>
    </row>
    <row r="732" spans="1:20" ht="13.2" x14ac:dyDescent="0.25">
      <c r="A732" s="17"/>
      <c r="B732" s="17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9"/>
      <c r="R732" s="20"/>
      <c r="S732" s="21"/>
      <c r="T732" s="22"/>
    </row>
    <row r="733" spans="1:20" ht="13.2" x14ac:dyDescent="0.25">
      <c r="A733" s="17"/>
      <c r="B733" s="17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9"/>
      <c r="R733" s="20"/>
      <c r="S733" s="21"/>
      <c r="T733" s="22"/>
    </row>
    <row r="734" spans="1:20" ht="13.2" x14ac:dyDescent="0.25">
      <c r="A734" s="17"/>
      <c r="B734" s="17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9"/>
      <c r="R734" s="20"/>
      <c r="S734" s="21"/>
      <c r="T734" s="22"/>
    </row>
    <row r="735" spans="1:20" ht="13.2" x14ac:dyDescent="0.25">
      <c r="A735" s="17"/>
      <c r="B735" s="17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9"/>
      <c r="R735" s="20"/>
      <c r="S735" s="21"/>
      <c r="T735" s="22"/>
    </row>
    <row r="736" spans="1:20" ht="13.2" x14ac:dyDescent="0.25">
      <c r="A736" s="17"/>
      <c r="B736" s="17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9"/>
      <c r="R736" s="20"/>
      <c r="S736" s="21"/>
      <c r="T736" s="22"/>
    </row>
    <row r="737" spans="1:20" ht="13.2" x14ac:dyDescent="0.25">
      <c r="A737" s="17"/>
      <c r="B737" s="17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9"/>
      <c r="R737" s="20"/>
      <c r="S737" s="21"/>
      <c r="T737" s="22"/>
    </row>
    <row r="738" spans="1:20" ht="13.2" x14ac:dyDescent="0.25">
      <c r="A738" s="17"/>
      <c r="B738" s="17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9"/>
      <c r="R738" s="20"/>
      <c r="S738" s="21"/>
      <c r="T738" s="22"/>
    </row>
    <row r="739" spans="1:20" ht="13.2" x14ac:dyDescent="0.25">
      <c r="A739" s="17"/>
      <c r="B739" s="17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9"/>
      <c r="R739" s="20"/>
      <c r="S739" s="21"/>
      <c r="T739" s="22"/>
    </row>
    <row r="740" spans="1:20" ht="13.2" x14ac:dyDescent="0.25">
      <c r="A740" s="17"/>
      <c r="B740" s="17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9"/>
      <c r="R740" s="20"/>
      <c r="S740" s="21"/>
      <c r="T740" s="22"/>
    </row>
    <row r="741" spans="1:20" ht="13.2" x14ac:dyDescent="0.25">
      <c r="A741" s="17"/>
      <c r="B741" s="17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9"/>
      <c r="R741" s="20"/>
      <c r="S741" s="21"/>
      <c r="T741" s="22"/>
    </row>
    <row r="742" spans="1:20" ht="13.2" x14ac:dyDescent="0.25">
      <c r="A742" s="17"/>
      <c r="B742" s="17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9"/>
      <c r="R742" s="20"/>
      <c r="S742" s="21"/>
      <c r="T742" s="22"/>
    </row>
    <row r="743" spans="1:20" ht="13.2" x14ac:dyDescent="0.25">
      <c r="A743" s="17"/>
      <c r="B743" s="17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9"/>
      <c r="R743" s="20"/>
      <c r="S743" s="21"/>
      <c r="T743" s="22"/>
    </row>
    <row r="744" spans="1:20" ht="13.2" x14ac:dyDescent="0.25">
      <c r="A744" s="17"/>
      <c r="B744" s="17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9"/>
      <c r="R744" s="20"/>
      <c r="S744" s="21"/>
      <c r="T744" s="22"/>
    </row>
    <row r="745" spans="1:20" ht="13.2" x14ac:dyDescent="0.25">
      <c r="A745" s="17"/>
      <c r="B745" s="17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9"/>
      <c r="R745" s="20"/>
      <c r="S745" s="21"/>
      <c r="T745" s="22"/>
    </row>
    <row r="746" spans="1:20" ht="13.2" x14ac:dyDescent="0.25">
      <c r="A746" s="17"/>
      <c r="B746" s="17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9"/>
      <c r="R746" s="20"/>
      <c r="S746" s="21"/>
      <c r="T746" s="22"/>
    </row>
    <row r="747" spans="1:20" ht="13.2" x14ac:dyDescent="0.25">
      <c r="A747" s="17"/>
      <c r="B747" s="17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9"/>
      <c r="R747" s="20"/>
      <c r="S747" s="21"/>
      <c r="T747" s="22"/>
    </row>
    <row r="748" spans="1:20" ht="13.2" x14ac:dyDescent="0.25">
      <c r="A748" s="17"/>
      <c r="B748" s="17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9"/>
      <c r="R748" s="20"/>
      <c r="S748" s="21"/>
      <c r="T748" s="22"/>
    </row>
    <row r="749" spans="1:20" ht="13.2" x14ac:dyDescent="0.25">
      <c r="A749" s="17"/>
      <c r="B749" s="17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9"/>
      <c r="R749" s="20"/>
      <c r="S749" s="21"/>
      <c r="T749" s="22"/>
    </row>
    <row r="750" spans="1:20" ht="13.2" x14ac:dyDescent="0.25">
      <c r="A750" s="17"/>
      <c r="B750" s="17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9"/>
      <c r="R750" s="20"/>
      <c r="S750" s="21"/>
      <c r="T750" s="22"/>
    </row>
    <row r="751" spans="1:20" ht="13.2" x14ac:dyDescent="0.25">
      <c r="A751" s="17"/>
      <c r="B751" s="17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9"/>
      <c r="R751" s="20"/>
      <c r="S751" s="21"/>
      <c r="T751" s="22"/>
    </row>
    <row r="752" spans="1:20" ht="13.2" x14ac:dyDescent="0.25">
      <c r="A752" s="17"/>
      <c r="B752" s="17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9"/>
      <c r="R752" s="20"/>
      <c r="S752" s="21"/>
      <c r="T752" s="22"/>
    </row>
    <row r="753" spans="1:20" ht="13.2" x14ac:dyDescent="0.25">
      <c r="A753" s="17"/>
      <c r="B753" s="17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9"/>
      <c r="R753" s="20"/>
      <c r="S753" s="21"/>
      <c r="T753" s="22"/>
    </row>
    <row r="754" spans="1:20" ht="13.2" x14ac:dyDescent="0.25">
      <c r="A754" s="17"/>
      <c r="B754" s="17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9"/>
      <c r="R754" s="20"/>
      <c r="S754" s="21"/>
      <c r="T754" s="22"/>
    </row>
    <row r="755" spans="1:20" ht="13.2" x14ac:dyDescent="0.25">
      <c r="A755" s="17"/>
      <c r="B755" s="17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9"/>
      <c r="R755" s="20"/>
      <c r="S755" s="21"/>
      <c r="T755" s="22"/>
    </row>
    <row r="756" spans="1:20" ht="13.2" x14ac:dyDescent="0.25">
      <c r="A756" s="17"/>
      <c r="B756" s="17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9"/>
      <c r="R756" s="20"/>
      <c r="S756" s="21"/>
      <c r="T756" s="22"/>
    </row>
    <row r="757" spans="1:20" ht="13.2" x14ac:dyDescent="0.25">
      <c r="A757" s="17"/>
      <c r="B757" s="17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9"/>
      <c r="R757" s="20"/>
      <c r="S757" s="21"/>
      <c r="T757" s="22"/>
    </row>
    <row r="758" spans="1:20" ht="13.2" x14ac:dyDescent="0.25">
      <c r="A758" s="17"/>
      <c r="B758" s="17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9"/>
      <c r="R758" s="20"/>
      <c r="S758" s="21"/>
      <c r="T758" s="22"/>
    </row>
    <row r="759" spans="1:20" ht="13.2" x14ac:dyDescent="0.25">
      <c r="A759" s="17"/>
      <c r="B759" s="17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9"/>
      <c r="R759" s="20"/>
      <c r="S759" s="21"/>
      <c r="T759" s="22"/>
    </row>
    <row r="760" spans="1:20" ht="13.2" x14ac:dyDescent="0.25">
      <c r="A760" s="17"/>
      <c r="B760" s="17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9"/>
      <c r="R760" s="20"/>
      <c r="S760" s="21"/>
      <c r="T760" s="22"/>
    </row>
    <row r="761" spans="1:20" ht="13.2" x14ac:dyDescent="0.25">
      <c r="A761" s="17"/>
      <c r="B761" s="17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9"/>
      <c r="R761" s="20"/>
      <c r="S761" s="21"/>
      <c r="T761" s="22"/>
    </row>
    <row r="762" spans="1:20" ht="13.2" x14ac:dyDescent="0.25">
      <c r="A762" s="17"/>
      <c r="B762" s="17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9"/>
      <c r="R762" s="20"/>
      <c r="S762" s="21"/>
      <c r="T762" s="22"/>
    </row>
    <row r="763" spans="1:20" ht="13.2" x14ac:dyDescent="0.25">
      <c r="A763" s="17"/>
      <c r="B763" s="17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9"/>
      <c r="R763" s="20"/>
      <c r="S763" s="21"/>
      <c r="T763" s="22"/>
    </row>
    <row r="764" spans="1:20" ht="13.2" x14ac:dyDescent="0.25">
      <c r="A764" s="17"/>
      <c r="B764" s="17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9"/>
      <c r="R764" s="20"/>
      <c r="S764" s="21"/>
      <c r="T764" s="22"/>
    </row>
    <row r="765" spans="1:20" ht="13.2" x14ac:dyDescent="0.25">
      <c r="A765" s="17"/>
      <c r="B765" s="17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9"/>
      <c r="R765" s="20"/>
      <c r="S765" s="21"/>
      <c r="T765" s="22"/>
    </row>
    <row r="766" spans="1:20" ht="13.2" x14ac:dyDescent="0.25">
      <c r="A766" s="17"/>
      <c r="B766" s="17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9"/>
      <c r="R766" s="20"/>
      <c r="S766" s="21"/>
      <c r="T766" s="22"/>
    </row>
    <row r="767" spans="1:20" ht="13.2" x14ac:dyDescent="0.25">
      <c r="A767" s="17"/>
      <c r="B767" s="17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9"/>
      <c r="R767" s="20"/>
      <c r="S767" s="21"/>
      <c r="T767" s="22"/>
    </row>
    <row r="768" spans="1:20" ht="13.2" x14ac:dyDescent="0.25">
      <c r="A768" s="17"/>
      <c r="B768" s="17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9"/>
      <c r="R768" s="20"/>
      <c r="S768" s="21"/>
      <c r="T768" s="22"/>
    </row>
    <row r="769" spans="1:20" ht="13.2" x14ac:dyDescent="0.25">
      <c r="A769" s="17"/>
      <c r="B769" s="17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9"/>
      <c r="R769" s="20"/>
      <c r="S769" s="21"/>
      <c r="T769" s="22"/>
    </row>
    <row r="770" spans="1:20" ht="13.2" x14ac:dyDescent="0.25">
      <c r="A770" s="17"/>
      <c r="B770" s="17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9"/>
      <c r="R770" s="20"/>
      <c r="S770" s="21"/>
      <c r="T770" s="22"/>
    </row>
    <row r="771" spans="1:20" ht="13.2" x14ac:dyDescent="0.25">
      <c r="A771" s="17"/>
      <c r="B771" s="17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9"/>
      <c r="R771" s="20"/>
      <c r="S771" s="21"/>
      <c r="T771" s="22"/>
    </row>
    <row r="772" spans="1:20" ht="13.2" x14ac:dyDescent="0.25">
      <c r="A772" s="17"/>
      <c r="B772" s="17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9"/>
      <c r="R772" s="20"/>
      <c r="S772" s="21"/>
      <c r="T772" s="22"/>
    </row>
    <row r="773" spans="1:20" ht="13.2" x14ac:dyDescent="0.25">
      <c r="A773" s="17"/>
      <c r="B773" s="17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9"/>
      <c r="R773" s="20"/>
      <c r="S773" s="21"/>
      <c r="T773" s="22"/>
    </row>
    <row r="774" spans="1:20" ht="13.2" x14ac:dyDescent="0.25">
      <c r="A774" s="17"/>
      <c r="B774" s="17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9"/>
      <c r="R774" s="20"/>
      <c r="S774" s="21"/>
      <c r="T774" s="22"/>
    </row>
    <row r="775" spans="1:20" ht="13.2" x14ac:dyDescent="0.25">
      <c r="A775" s="17"/>
      <c r="B775" s="17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9"/>
      <c r="R775" s="20"/>
      <c r="S775" s="21"/>
      <c r="T775" s="22"/>
    </row>
    <row r="776" spans="1:20" ht="13.2" x14ac:dyDescent="0.25">
      <c r="A776" s="17"/>
      <c r="B776" s="17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9"/>
      <c r="R776" s="20"/>
      <c r="S776" s="21"/>
      <c r="T776" s="22"/>
    </row>
    <row r="777" spans="1:20" ht="13.2" x14ac:dyDescent="0.25">
      <c r="A777" s="17"/>
      <c r="B777" s="17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9"/>
      <c r="R777" s="20"/>
      <c r="S777" s="21"/>
      <c r="T777" s="22"/>
    </row>
    <row r="778" spans="1:20" ht="13.2" x14ac:dyDescent="0.25">
      <c r="A778" s="17"/>
      <c r="B778" s="17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9"/>
      <c r="R778" s="20"/>
      <c r="S778" s="21"/>
      <c r="T778" s="22"/>
    </row>
    <row r="779" spans="1:20" ht="13.2" x14ac:dyDescent="0.25">
      <c r="A779" s="17"/>
      <c r="B779" s="17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9"/>
      <c r="R779" s="20"/>
      <c r="S779" s="21"/>
      <c r="T779" s="22"/>
    </row>
    <row r="780" spans="1:20" ht="13.2" x14ac:dyDescent="0.25">
      <c r="A780" s="17"/>
      <c r="B780" s="17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9"/>
      <c r="R780" s="20"/>
      <c r="S780" s="21"/>
      <c r="T780" s="22"/>
    </row>
    <row r="781" spans="1:20" ht="13.2" x14ac:dyDescent="0.25">
      <c r="A781" s="17"/>
      <c r="B781" s="17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9"/>
      <c r="R781" s="20"/>
      <c r="S781" s="21"/>
      <c r="T781" s="22"/>
    </row>
    <row r="782" spans="1:20" ht="13.2" x14ac:dyDescent="0.25">
      <c r="A782" s="17"/>
      <c r="B782" s="17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9"/>
      <c r="R782" s="20"/>
      <c r="S782" s="21"/>
      <c r="T782" s="22"/>
    </row>
    <row r="783" spans="1:20" ht="13.2" x14ac:dyDescent="0.25">
      <c r="A783" s="17"/>
      <c r="B783" s="17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9"/>
      <c r="R783" s="20"/>
      <c r="S783" s="21"/>
      <c r="T783" s="22"/>
    </row>
    <row r="784" spans="1:20" ht="13.2" x14ac:dyDescent="0.25">
      <c r="A784" s="17"/>
      <c r="B784" s="17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9"/>
      <c r="R784" s="20"/>
      <c r="S784" s="21"/>
      <c r="T784" s="22"/>
    </row>
    <row r="785" spans="1:20" ht="13.2" x14ac:dyDescent="0.25">
      <c r="A785" s="17"/>
      <c r="B785" s="17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9"/>
      <c r="R785" s="20"/>
      <c r="S785" s="21"/>
      <c r="T785" s="22"/>
    </row>
    <row r="786" spans="1:20" ht="13.2" x14ac:dyDescent="0.25">
      <c r="A786" s="17"/>
      <c r="B786" s="17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9"/>
      <c r="R786" s="20"/>
      <c r="S786" s="21"/>
      <c r="T786" s="22"/>
    </row>
    <row r="787" spans="1:20" ht="13.2" x14ac:dyDescent="0.25">
      <c r="A787" s="17"/>
      <c r="B787" s="17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9"/>
      <c r="R787" s="20"/>
      <c r="S787" s="21"/>
      <c r="T787" s="22"/>
    </row>
    <row r="788" spans="1:20" ht="13.2" x14ac:dyDescent="0.25">
      <c r="A788" s="17"/>
      <c r="B788" s="17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9"/>
      <c r="R788" s="20"/>
      <c r="S788" s="21"/>
      <c r="T788" s="22"/>
    </row>
    <row r="789" spans="1:20" ht="13.2" x14ac:dyDescent="0.25">
      <c r="A789" s="17"/>
      <c r="B789" s="17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9"/>
      <c r="R789" s="20"/>
      <c r="S789" s="21"/>
      <c r="T789" s="22"/>
    </row>
    <row r="790" spans="1:20" ht="13.2" x14ac:dyDescent="0.25">
      <c r="A790" s="17"/>
      <c r="B790" s="17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9"/>
      <c r="R790" s="20"/>
      <c r="S790" s="21"/>
      <c r="T790" s="22"/>
    </row>
    <row r="791" spans="1:20" ht="13.2" x14ac:dyDescent="0.25">
      <c r="A791" s="17"/>
      <c r="B791" s="17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9"/>
      <c r="R791" s="20"/>
      <c r="S791" s="21"/>
      <c r="T791" s="22"/>
    </row>
    <row r="792" spans="1:20" ht="13.2" x14ac:dyDescent="0.25">
      <c r="A792" s="17"/>
      <c r="B792" s="17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9"/>
      <c r="R792" s="20"/>
      <c r="S792" s="21"/>
      <c r="T792" s="22"/>
    </row>
    <row r="793" spans="1:20" ht="13.2" x14ac:dyDescent="0.25">
      <c r="A793" s="17"/>
      <c r="B793" s="17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9"/>
      <c r="R793" s="20"/>
      <c r="S793" s="21"/>
      <c r="T793" s="22"/>
    </row>
    <row r="794" spans="1:20" ht="13.2" x14ac:dyDescent="0.25">
      <c r="A794" s="17"/>
      <c r="B794" s="17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9"/>
      <c r="R794" s="20"/>
      <c r="S794" s="21"/>
      <c r="T794" s="22"/>
    </row>
    <row r="795" spans="1:20" ht="13.2" x14ac:dyDescent="0.25">
      <c r="A795" s="17"/>
      <c r="B795" s="17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9"/>
      <c r="R795" s="20"/>
      <c r="S795" s="21"/>
      <c r="T795" s="22"/>
    </row>
    <row r="796" spans="1:20" ht="13.2" x14ac:dyDescent="0.25">
      <c r="A796" s="17"/>
      <c r="B796" s="17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9"/>
      <c r="R796" s="20"/>
      <c r="S796" s="21"/>
      <c r="T796" s="22"/>
    </row>
    <row r="797" spans="1:20" ht="13.2" x14ac:dyDescent="0.25">
      <c r="A797" s="17"/>
      <c r="B797" s="17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9"/>
      <c r="R797" s="20"/>
      <c r="S797" s="21"/>
      <c r="T797" s="22"/>
    </row>
    <row r="798" spans="1:20" ht="13.2" x14ac:dyDescent="0.25">
      <c r="A798" s="17"/>
      <c r="B798" s="17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9"/>
      <c r="R798" s="20"/>
      <c r="S798" s="21"/>
      <c r="T798" s="22"/>
    </row>
    <row r="799" spans="1:20" ht="13.2" x14ac:dyDescent="0.25">
      <c r="A799" s="17"/>
      <c r="B799" s="17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9"/>
      <c r="R799" s="20"/>
      <c r="S799" s="21"/>
      <c r="T799" s="22"/>
    </row>
    <row r="800" spans="1:20" ht="13.2" x14ac:dyDescent="0.25">
      <c r="A800" s="17"/>
      <c r="B800" s="17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9"/>
      <c r="R800" s="20"/>
      <c r="S800" s="21"/>
      <c r="T800" s="22"/>
    </row>
    <row r="801" spans="1:20" ht="13.2" x14ac:dyDescent="0.25">
      <c r="A801" s="17"/>
      <c r="B801" s="17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9"/>
      <c r="R801" s="20"/>
      <c r="S801" s="21"/>
      <c r="T801" s="22"/>
    </row>
    <row r="802" spans="1:20" ht="13.2" x14ac:dyDescent="0.25">
      <c r="A802" s="17"/>
      <c r="B802" s="17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9"/>
      <c r="R802" s="20"/>
      <c r="S802" s="21"/>
      <c r="T802" s="22"/>
    </row>
    <row r="803" spans="1:20" ht="13.2" x14ac:dyDescent="0.25">
      <c r="A803" s="17"/>
      <c r="B803" s="17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9"/>
      <c r="R803" s="20"/>
      <c r="S803" s="21"/>
      <c r="T803" s="22"/>
    </row>
    <row r="804" spans="1:20" ht="13.2" x14ac:dyDescent="0.25">
      <c r="A804" s="17"/>
      <c r="B804" s="17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9"/>
      <c r="R804" s="20"/>
      <c r="S804" s="21"/>
      <c r="T804" s="22"/>
    </row>
    <row r="805" spans="1:20" ht="13.2" x14ac:dyDescent="0.25">
      <c r="A805" s="17"/>
      <c r="B805" s="17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9"/>
      <c r="R805" s="20"/>
      <c r="S805" s="21"/>
      <c r="T805" s="22"/>
    </row>
    <row r="806" spans="1:20" ht="13.2" x14ac:dyDescent="0.25">
      <c r="A806" s="17"/>
      <c r="B806" s="17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9"/>
      <c r="R806" s="20"/>
      <c r="S806" s="21"/>
      <c r="T806" s="22"/>
    </row>
    <row r="807" spans="1:20" ht="13.2" x14ac:dyDescent="0.25">
      <c r="A807" s="17"/>
      <c r="B807" s="17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9"/>
      <c r="R807" s="20"/>
      <c r="S807" s="21"/>
      <c r="T807" s="22"/>
    </row>
    <row r="808" spans="1:20" ht="13.2" x14ac:dyDescent="0.25">
      <c r="A808" s="17"/>
      <c r="B808" s="17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9"/>
      <c r="R808" s="20"/>
      <c r="S808" s="21"/>
      <c r="T808" s="22"/>
    </row>
    <row r="809" spans="1:20" ht="13.2" x14ac:dyDescent="0.25">
      <c r="A809" s="17"/>
      <c r="B809" s="17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9"/>
      <c r="R809" s="20"/>
      <c r="S809" s="21"/>
      <c r="T809" s="22"/>
    </row>
    <row r="810" spans="1:20" ht="13.2" x14ac:dyDescent="0.25">
      <c r="A810" s="17"/>
      <c r="B810" s="17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9"/>
      <c r="R810" s="20"/>
      <c r="S810" s="21"/>
      <c r="T810" s="22"/>
    </row>
    <row r="811" spans="1:20" ht="13.2" x14ac:dyDescent="0.25">
      <c r="A811" s="17"/>
      <c r="B811" s="17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9"/>
      <c r="R811" s="20"/>
      <c r="S811" s="21"/>
      <c r="T811" s="22"/>
    </row>
    <row r="812" spans="1:20" ht="13.2" x14ac:dyDescent="0.25">
      <c r="A812" s="17"/>
      <c r="B812" s="17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9"/>
      <c r="R812" s="20"/>
      <c r="S812" s="21"/>
      <c r="T812" s="22"/>
    </row>
    <row r="813" spans="1:20" ht="13.2" x14ac:dyDescent="0.25">
      <c r="A813" s="17"/>
      <c r="B813" s="17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9"/>
      <c r="R813" s="20"/>
      <c r="S813" s="21"/>
      <c r="T813" s="22"/>
    </row>
    <row r="814" spans="1:20" ht="13.2" x14ac:dyDescent="0.25">
      <c r="A814" s="17"/>
      <c r="B814" s="17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9"/>
      <c r="R814" s="20"/>
      <c r="S814" s="21"/>
      <c r="T814" s="22"/>
    </row>
    <row r="815" spans="1:20" ht="13.2" x14ac:dyDescent="0.25">
      <c r="A815" s="17"/>
      <c r="B815" s="17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9"/>
      <c r="R815" s="20"/>
      <c r="S815" s="21"/>
      <c r="T815" s="22"/>
    </row>
    <row r="816" spans="1:20" ht="13.2" x14ac:dyDescent="0.25">
      <c r="A816" s="17"/>
      <c r="B816" s="17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9"/>
      <c r="R816" s="20"/>
      <c r="S816" s="21"/>
      <c r="T816" s="22"/>
    </row>
    <row r="817" spans="1:20" ht="13.2" x14ac:dyDescent="0.25">
      <c r="A817" s="17"/>
      <c r="B817" s="17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9"/>
      <c r="R817" s="20"/>
      <c r="S817" s="21"/>
      <c r="T817" s="22"/>
    </row>
    <row r="818" spans="1:20" ht="13.2" x14ac:dyDescent="0.25">
      <c r="A818" s="17"/>
      <c r="B818" s="17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9"/>
      <c r="R818" s="20"/>
      <c r="S818" s="21"/>
      <c r="T818" s="22"/>
    </row>
    <row r="819" spans="1:20" ht="13.2" x14ac:dyDescent="0.25">
      <c r="A819" s="17"/>
      <c r="B819" s="17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9"/>
      <c r="R819" s="20"/>
      <c r="S819" s="21"/>
      <c r="T819" s="22"/>
    </row>
    <row r="820" spans="1:20" ht="13.2" x14ac:dyDescent="0.25">
      <c r="A820" s="17"/>
      <c r="B820" s="17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9"/>
      <c r="R820" s="20"/>
      <c r="S820" s="21"/>
      <c r="T820" s="22"/>
    </row>
    <row r="821" spans="1:20" ht="13.2" x14ac:dyDescent="0.25">
      <c r="A821" s="17"/>
      <c r="B821" s="17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9"/>
      <c r="R821" s="20"/>
      <c r="S821" s="21"/>
      <c r="T821" s="22"/>
    </row>
    <row r="822" spans="1:20" ht="13.2" x14ac:dyDescent="0.25">
      <c r="A822" s="17"/>
      <c r="B822" s="17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9"/>
      <c r="R822" s="20"/>
      <c r="S822" s="21"/>
      <c r="T822" s="22"/>
    </row>
    <row r="823" spans="1:20" ht="13.2" x14ac:dyDescent="0.25">
      <c r="A823" s="17"/>
      <c r="B823" s="17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9"/>
      <c r="R823" s="20"/>
      <c r="S823" s="21"/>
      <c r="T823" s="22"/>
    </row>
    <row r="824" spans="1:20" ht="13.2" x14ac:dyDescent="0.25">
      <c r="A824" s="17"/>
      <c r="B824" s="17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9"/>
      <c r="R824" s="20"/>
      <c r="S824" s="21"/>
      <c r="T824" s="22"/>
    </row>
    <row r="825" spans="1:20" ht="13.2" x14ac:dyDescent="0.25">
      <c r="A825" s="17"/>
      <c r="B825" s="17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9"/>
      <c r="R825" s="20"/>
      <c r="S825" s="21"/>
      <c r="T825" s="22"/>
    </row>
    <row r="826" spans="1:20" ht="13.2" x14ac:dyDescent="0.25">
      <c r="A826" s="17"/>
      <c r="B826" s="17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9"/>
      <c r="R826" s="20"/>
      <c r="S826" s="21"/>
      <c r="T826" s="22"/>
    </row>
    <row r="827" spans="1:20" ht="13.2" x14ac:dyDescent="0.25">
      <c r="A827" s="17"/>
      <c r="B827" s="17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9"/>
      <c r="R827" s="20"/>
      <c r="S827" s="21"/>
      <c r="T827" s="22"/>
    </row>
    <row r="828" spans="1:20" ht="13.2" x14ac:dyDescent="0.25">
      <c r="A828" s="17"/>
      <c r="B828" s="17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9"/>
      <c r="R828" s="20"/>
      <c r="S828" s="21"/>
      <c r="T828" s="22"/>
    </row>
    <row r="829" spans="1:20" ht="13.2" x14ac:dyDescent="0.25">
      <c r="A829" s="17"/>
      <c r="B829" s="17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9"/>
      <c r="R829" s="20"/>
      <c r="S829" s="21"/>
      <c r="T829" s="22"/>
    </row>
    <row r="830" spans="1:20" ht="13.2" x14ac:dyDescent="0.25">
      <c r="A830" s="17"/>
      <c r="B830" s="17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9"/>
      <c r="R830" s="20"/>
      <c r="S830" s="21"/>
      <c r="T830" s="22"/>
    </row>
    <row r="831" spans="1:20" ht="13.2" x14ac:dyDescent="0.25">
      <c r="A831" s="17"/>
      <c r="B831" s="17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9"/>
      <c r="R831" s="20"/>
      <c r="S831" s="21"/>
      <c r="T831" s="22"/>
    </row>
    <row r="832" spans="1:20" ht="13.2" x14ac:dyDescent="0.25">
      <c r="A832" s="17"/>
      <c r="B832" s="17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9"/>
      <c r="R832" s="20"/>
      <c r="S832" s="21"/>
      <c r="T832" s="22"/>
    </row>
    <row r="833" spans="1:20" ht="13.2" x14ac:dyDescent="0.25">
      <c r="A833" s="17"/>
      <c r="B833" s="17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9"/>
      <c r="R833" s="20"/>
      <c r="S833" s="21"/>
      <c r="T833" s="22"/>
    </row>
    <row r="834" spans="1:20" ht="13.2" x14ac:dyDescent="0.25">
      <c r="A834" s="17"/>
      <c r="B834" s="17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9"/>
      <c r="R834" s="20"/>
      <c r="S834" s="21"/>
      <c r="T834" s="22"/>
    </row>
    <row r="835" spans="1:20" ht="13.2" x14ac:dyDescent="0.25">
      <c r="A835" s="17"/>
      <c r="B835" s="17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9"/>
      <c r="R835" s="20"/>
      <c r="S835" s="21"/>
      <c r="T835" s="22"/>
    </row>
    <row r="836" spans="1:20" ht="13.2" x14ac:dyDescent="0.25">
      <c r="A836" s="17"/>
      <c r="B836" s="17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9"/>
      <c r="R836" s="20"/>
      <c r="S836" s="21"/>
      <c r="T836" s="22"/>
    </row>
    <row r="837" spans="1:20" ht="13.2" x14ac:dyDescent="0.25">
      <c r="A837" s="17"/>
      <c r="B837" s="17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9"/>
      <c r="R837" s="20"/>
      <c r="S837" s="21"/>
      <c r="T837" s="22"/>
    </row>
    <row r="838" spans="1:20" ht="13.2" x14ac:dyDescent="0.25">
      <c r="A838" s="17"/>
      <c r="B838" s="17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9"/>
      <c r="R838" s="20"/>
      <c r="S838" s="21"/>
      <c r="T838" s="22"/>
    </row>
    <row r="839" spans="1:20" ht="13.2" x14ac:dyDescent="0.25">
      <c r="A839" s="17"/>
      <c r="B839" s="17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9"/>
      <c r="R839" s="20"/>
      <c r="S839" s="21"/>
      <c r="T839" s="22"/>
    </row>
    <row r="840" spans="1:20" ht="13.2" x14ac:dyDescent="0.25">
      <c r="A840" s="17"/>
      <c r="B840" s="17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9"/>
      <c r="R840" s="20"/>
      <c r="S840" s="21"/>
      <c r="T840" s="22"/>
    </row>
    <row r="841" spans="1:20" ht="13.2" x14ac:dyDescent="0.25">
      <c r="A841" s="17"/>
      <c r="B841" s="17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9"/>
      <c r="R841" s="20"/>
      <c r="S841" s="21"/>
      <c r="T841" s="22"/>
    </row>
    <row r="842" spans="1:20" ht="13.2" x14ac:dyDescent="0.25">
      <c r="A842" s="17"/>
      <c r="B842" s="17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9"/>
      <c r="R842" s="20"/>
      <c r="S842" s="21"/>
      <c r="T842" s="22"/>
    </row>
    <row r="843" spans="1:20" ht="13.2" x14ac:dyDescent="0.25">
      <c r="A843" s="17"/>
      <c r="B843" s="17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9"/>
      <c r="R843" s="20"/>
      <c r="S843" s="21"/>
      <c r="T843" s="22"/>
    </row>
    <row r="844" spans="1:20" ht="13.2" x14ac:dyDescent="0.25">
      <c r="A844" s="17"/>
      <c r="B844" s="17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9"/>
      <c r="R844" s="20"/>
      <c r="S844" s="21"/>
      <c r="T844" s="22"/>
    </row>
    <row r="845" spans="1:20" ht="13.2" x14ac:dyDescent="0.25">
      <c r="A845" s="17"/>
      <c r="B845" s="17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9"/>
      <c r="R845" s="20"/>
      <c r="S845" s="21"/>
      <c r="T845" s="22"/>
    </row>
    <row r="846" spans="1:20" ht="13.2" x14ac:dyDescent="0.25">
      <c r="A846" s="17"/>
      <c r="B846" s="17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9"/>
      <c r="R846" s="20"/>
      <c r="S846" s="21"/>
      <c r="T846" s="22"/>
    </row>
    <row r="847" spans="1:20" ht="13.2" x14ac:dyDescent="0.25">
      <c r="A847" s="17"/>
      <c r="B847" s="17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9"/>
      <c r="R847" s="20"/>
      <c r="S847" s="21"/>
      <c r="T847" s="22"/>
    </row>
    <row r="848" spans="1:20" ht="13.2" x14ac:dyDescent="0.25">
      <c r="A848" s="17"/>
      <c r="B848" s="17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9"/>
      <c r="R848" s="20"/>
      <c r="S848" s="21"/>
      <c r="T848" s="22"/>
    </row>
    <row r="849" spans="1:20" ht="13.2" x14ac:dyDescent="0.25">
      <c r="A849" s="17"/>
      <c r="B849" s="17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9"/>
      <c r="R849" s="20"/>
      <c r="S849" s="21"/>
      <c r="T849" s="22"/>
    </row>
    <row r="850" spans="1:20" ht="13.2" x14ac:dyDescent="0.25">
      <c r="A850" s="17"/>
      <c r="B850" s="17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9"/>
      <c r="R850" s="20"/>
      <c r="S850" s="21"/>
      <c r="T850" s="22"/>
    </row>
    <row r="851" spans="1:20" ht="13.2" x14ac:dyDescent="0.25">
      <c r="A851" s="17"/>
      <c r="B851" s="17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9"/>
      <c r="R851" s="20"/>
      <c r="S851" s="21"/>
      <c r="T851" s="22"/>
    </row>
    <row r="852" spans="1:20" ht="13.2" x14ac:dyDescent="0.25">
      <c r="A852" s="17"/>
      <c r="B852" s="17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9"/>
      <c r="R852" s="20"/>
      <c r="S852" s="21"/>
      <c r="T852" s="22"/>
    </row>
    <row r="853" spans="1:20" ht="13.2" x14ac:dyDescent="0.25">
      <c r="A853" s="17"/>
      <c r="B853" s="17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9"/>
      <c r="R853" s="20"/>
      <c r="S853" s="21"/>
      <c r="T853" s="22"/>
    </row>
    <row r="854" spans="1:20" ht="13.2" x14ac:dyDescent="0.25">
      <c r="A854" s="17"/>
      <c r="B854" s="17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9"/>
      <c r="R854" s="20"/>
      <c r="S854" s="21"/>
      <c r="T854" s="22"/>
    </row>
    <row r="855" spans="1:20" ht="13.2" x14ac:dyDescent="0.25">
      <c r="A855" s="17"/>
      <c r="B855" s="17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9"/>
      <c r="R855" s="20"/>
      <c r="S855" s="21"/>
      <c r="T855" s="22"/>
    </row>
    <row r="856" spans="1:20" ht="13.2" x14ac:dyDescent="0.25">
      <c r="A856" s="17"/>
      <c r="B856" s="17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9"/>
      <c r="R856" s="20"/>
      <c r="S856" s="21"/>
      <c r="T856" s="22"/>
    </row>
    <row r="857" spans="1:20" ht="13.2" x14ac:dyDescent="0.25">
      <c r="A857" s="17"/>
      <c r="B857" s="17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9"/>
      <c r="R857" s="20"/>
      <c r="S857" s="21"/>
      <c r="T857" s="22"/>
    </row>
    <row r="858" spans="1:20" ht="13.2" x14ac:dyDescent="0.25">
      <c r="A858" s="17"/>
      <c r="B858" s="17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9"/>
      <c r="R858" s="20"/>
      <c r="S858" s="21"/>
      <c r="T858" s="22"/>
    </row>
    <row r="859" spans="1:20" ht="13.2" x14ac:dyDescent="0.25">
      <c r="A859" s="17"/>
      <c r="B859" s="17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9"/>
      <c r="R859" s="20"/>
      <c r="S859" s="21"/>
      <c r="T859" s="22"/>
    </row>
    <row r="860" spans="1:20" ht="13.2" x14ac:dyDescent="0.25">
      <c r="A860" s="17"/>
      <c r="B860" s="17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9"/>
      <c r="R860" s="20"/>
      <c r="S860" s="21"/>
      <c r="T860" s="22"/>
    </row>
    <row r="861" spans="1:20" ht="13.2" x14ac:dyDescent="0.25">
      <c r="A861" s="17"/>
      <c r="B861" s="17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9"/>
      <c r="R861" s="20"/>
      <c r="S861" s="21"/>
      <c r="T861" s="22"/>
    </row>
    <row r="862" spans="1:20" ht="13.2" x14ac:dyDescent="0.25">
      <c r="A862" s="17"/>
      <c r="B862" s="17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9"/>
      <c r="R862" s="20"/>
      <c r="S862" s="21"/>
      <c r="T862" s="22"/>
    </row>
    <row r="863" spans="1:20" ht="13.2" x14ac:dyDescent="0.25">
      <c r="A863" s="17"/>
      <c r="B863" s="17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9"/>
      <c r="R863" s="20"/>
      <c r="S863" s="21"/>
      <c r="T863" s="22"/>
    </row>
    <row r="864" spans="1:20" ht="13.2" x14ac:dyDescent="0.25">
      <c r="A864" s="17"/>
      <c r="B864" s="17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9"/>
      <c r="R864" s="20"/>
      <c r="S864" s="21"/>
      <c r="T864" s="22"/>
    </row>
    <row r="865" spans="1:20" ht="13.2" x14ac:dyDescent="0.25">
      <c r="A865" s="17"/>
      <c r="B865" s="17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9"/>
      <c r="R865" s="20"/>
      <c r="S865" s="21"/>
      <c r="T865" s="22"/>
    </row>
    <row r="866" spans="1:20" ht="13.2" x14ac:dyDescent="0.25">
      <c r="A866" s="17"/>
      <c r="B866" s="17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9"/>
      <c r="R866" s="20"/>
      <c r="S866" s="21"/>
      <c r="T866" s="22"/>
    </row>
    <row r="867" spans="1:20" ht="13.2" x14ac:dyDescent="0.25">
      <c r="A867" s="17"/>
      <c r="B867" s="17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9"/>
      <c r="R867" s="20"/>
      <c r="S867" s="21"/>
      <c r="T867" s="22"/>
    </row>
    <row r="868" spans="1:20" ht="13.2" x14ac:dyDescent="0.25">
      <c r="A868" s="17"/>
      <c r="B868" s="17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9"/>
      <c r="R868" s="20"/>
      <c r="S868" s="21"/>
      <c r="T868" s="22"/>
    </row>
    <row r="869" spans="1:20" ht="13.2" x14ac:dyDescent="0.25">
      <c r="A869" s="17"/>
      <c r="B869" s="17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9"/>
      <c r="R869" s="20"/>
      <c r="S869" s="21"/>
      <c r="T869" s="22"/>
    </row>
    <row r="870" spans="1:20" ht="13.2" x14ac:dyDescent="0.25">
      <c r="A870" s="17"/>
      <c r="B870" s="17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9"/>
      <c r="R870" s="20"/>
      <c r="S870" s="21"/>
      <c r="T870" s="22"/>
    </row>
    <row r="871" spans="1:20" ht="13.2" x14ac:dyDescent="0.25">
      <c r="A871" s="17"/>
      <c r="B871" s="17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9"/>
      <c r="R871" s="20"/>
      <c r="S871" s="21"/>
      <c r="T871" s="22"/>
    </row>
    <row r="872" spans="1:20" ht="13.2" x14ac:dyDescent="0.25">
      <c r="A872" s="17"/>
      <c r="B872" s="17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9"/>
      <c r="R872" s="20"/>
      <c r="S872" s="21"/>
      <c r="T872" s="22"/>
    </row>
    <row r="873" spans="1:20" ht="13.2" x14ac:dyDescent="0.25">
      <c r="A873" s="17"/>
      <c r="B873" s="17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9"/>
      <c r="R873" s="20"/>
      <c r="S873" s="21"/>
      <c r="T873" s="22"/>
    </row>
    <row r="874" spans="1:20" ht="13.2" x14ac:dyDescent="0.25">
      <c r="A874" s="17"/>
      <c r="B874" s="17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9"/>
      <c r="R874" s="20"/>
      <c r="S874" s="21"/>
      <c r="T874" s="22"/>
    </row>
    <row r="875" spans="1:20" ht="13.2" x14ac:dyDescent="0.25">
      <c r="A875" s="17"/>
      <c r="B875" s="17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9"/>
      <c r="R875" s="20"/>
      <c r="S875" s="21"/>
      <c r="T875" s="22"/>
    </row>
    <row r="876" spans="1:20" ht="13.2" x14ac:dyDescent="0.25">
      <c r="A876" s="17"/>
      <c r="B876" s="17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9"/>
      <c r="R876" s="20"/>
      <c r="S876" s="21"/>
      <c r="T876" s="22"/>
    </row>
    <row r="877" spans="1:20" ht="13.2" x14ac:dyDescent="0.25">
      <c r="A877" s="17"/>
      <c r="B877" s="17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9"/>
      <c r="R877" s="20"/>
      <c r="S877" s="21"/>
      <c r="T877" s="22"/>
    </row>
    <row r="878" spans="1:20" ht="13.2" x14ac:dyDescent="0.25">
      <c r="A878" s="17"/>
      <c r="B878" s="17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9"/>
      <c r="R878" s="20"/>
      <c r="S878" s="21"/>
      <c r="T878" s="22"/>
    </row>
    <row r="879" spans="1:20" ht="13.2" x14ac:dyDescent="0.25">
      <c r="A879" s="17"/>
      <c r="B879" s="17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9"/>
      <c r="R879" s="20"/>
      <c r="S879" s="21"/>
      <c r="T879" s="22"/>
    </row>
    <row r="880" spans="1:20" ht="13.2" x14ac:dyDescent="0.25">
      <c r="A880" s="17"/>
      <c r="B880" s="17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9"/>
      <c r="R880" s="20"/>
      <c r="S880" s="21"/>
      <c r="T880" s="22"/>
    </row>
    <row r="881" spans="1:20" ht="13.2" x14ac:dyDescent="0.25">
      <c r="A881" s="17"/>
      <c r="B881" s="17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9"/>
      <c r="R881" s="20"/>
      <c r="S881" s="21"/>
      <c r="T881" s="22"/>
    </row>
    <row r="882" spans="1:20" ht="13.2" x14ac:dyDescent="0.25">
      <c r="A882" s="17"/>
      <c r="B882" s="17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9"/>
      <c r="R882" s="20"/>
      <c r="S882" s="21"/>
      <c r="T882" s="22"/>
    </row>
    <row r="883" spans="1:20" ht="13.2" x14ac:dyDescent="0.25">
      <c r="A883" s="17"/>
      <c r="B883" s="17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9"/>
      <c r="R883" s="20"/>
      <c r="S883" s="21"/>
      <c r="T883" s="22"/>
    </row>
    <row r="884" spans="1:20" ht="13.2" x14ac:dyDescent="0.25">
      <c r="A884" s="17"/>
      <c r="B884" s="17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9"/>
      <c r="R884" s="20"/>
      <c r="S884" s="21"/>
      <c r="T884" s="22"/>
    </row>
    <row r="885" spans="1:20" ht="13.2" x14ac:dyDescent="0.25">
      <c r="A885" s="17"/>
      <c r="B885" s="17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9"/>
      <c r="R885" s="20"/>
      <c r="S885" s="21"/>
      <c r="T885" s="22"/>
    </row>
    <row r="886" spans="1:20" ht="13.2" x14ac:dyDescent="0.25">
      <c r="A886" s="17"/>
      <c r="B886" s="17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9"/>
      <c r="R886" s="20"/>
      <c r="S886" s="21"/>
      <c r="T886" s="22"/>
    </row>
    <row r="887" spans="1:20" ht="13.2" x14ac:dyDescent="0.25">
      <c r="A887" s="17"/>
      <c r="B887" s="17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9"/>
      <c r="R887" s="20"/>
      <c r="S887" s="21"/>
      <c r="T887" s="22"/>
    </row>
    <row r="888" spans="1:20" ht="13.2" x14ac:dyDescent="0.25">
      <c r="A888" s="17"/>
      <c r="B888" s="17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9"/>
      <c r="R888" s="20"/>
      <c r="S888" s="21"/>
      <c r="T888" s="22"/>
    </row>
    <row r="889" spans="1:20" ht="13.2" x14ac:dyDescent="0.25">
      <c r="A889" s="17"/>
      <c r="B889" s="17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9"/>
      <c r="R889" s="20"/>
      <c r="S889" s="21"/>
      <c r="T889" s="22"/>
    </row>
    <row r="890" spans="1:20" ht="13.2" x14ac:dyDescent="0.25">
      <c r="A890" s="17"/>
      <c r="B890" s="17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9"/>
      <c r="R890" s="20"/>
      <c r="S890" s="21"/>
      <c r="T890" s="22"/>
    </row>
    <row r="891" spans="1:20" ht="13.2" x14ac:dyDescent="0.25">
      <c r="A891" s="17"/>
      <c r="B891" s="17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9"/>
      <c r="R891" s="20"/>
      <c r="S891" s="21"/>
      <c r="T891" s="22"/>
    </row>
    <row r="892" spans="1:20" ht="13.2" x14ac:dyDescent="0.25">
      <c r="A892" s="17"/>
      <c r="B892" s="17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9"/>
      <c r="R892" s="20"/>
      <c r="S892" s="21"/>
      <c r="T892" s="22"/>
    </row>
    <row r="893" spans="1:20" ht="13.2" x14ac:dyDescent="0.25">
      <c r="A893" s="17"/>
      <c r="B893" s="17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9"/>
      <c r="R893" s="20"/>
      <c r="S893" s="21"/>
      <c r="T893" s="22"/>
    </row>
    <row r="894" spans="1:20" ht="13.2" x14ac:dyDescent="0.25">
      <c r="A894" s="17"/>
      <c r="B894" s="17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9"/>
      <c r="R894" s="20"/>
      <c r="S894" s="21"/>
      <c r="T894" s="22"/>
    </row>
    <row r="895" spans="1:20" ht="13.2" x14ac:dyDescent="0.25">
      <c r="A895" s="17"/>
      <c r="B895" s="17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9"/>
      <c r="R895" s="20"/>
      <c r="S895" s="21"/>
      <c r="T895" s="22"/>
    </row>
    <row r="896" spans="1:20" ht="13.2" x14ac:dyDescent="0.25">
      <c r="A896" s="17"/>
      <c r="B896" s="17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9"/>
      <c r="R896" s="20"/>
      <c r="S896" s="21"/>
      <c r="T896" s="22"/>
    </row>
    <row r="897" spans="1:20" ht="13.2" x14ac:dyDescent="0.25">
      <c r="A897" s="17"/>
      <c r="B897" s="17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9"/>
      <c r="R897" s="20"/>
      <c r="S897" s="21"/>
      <c r="T897" s="22"/>
    </row>
    <row r="898" spans="1:20" ht="13.2" x14ac:dyDescent="0.25">
      <c r="A898" s="17"/>
      <c r="B898" s="17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9"/>
      <c r="R898" s="20"/>
      <c r="S898" s="21"/>
      <c r="T898" s="22"/>
    </row>
    <row r="899" spans="1:20" ht="13.2" x14ac:dyDescent="0.25">
      <c r="A899" s="17"/>
      <c r="B899" s="17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9"/>
      <c r="R899" s="20"/>
      <c r="S899" s="21"/>
      <c r="T899" s="22"/>
    </row>
    <row r="900" spans="1:20" ht="13.2" x14ac:dyDescent="0.25">
      <c r="A900" s="17"/>
      <c r="B900" s="17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9"/>
      <c r="R900" s="20"/>
      <c r="S900" s="21"/>
      <c r="T900" s="22"/>
    </row>
    <row r="901" spans="1:20" ht="13.2" x14ac:dyDescent="0.25">
      <c r="A901" s="17"/>
      <c r="B901" s="17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9"/>
      <c r="R901" s="20"/>
      <c r="S901" s="21"/>
      <c r="T901" s="22"/>
    </row>
    <row r="902" spans="1:20" ht="13.2" x14ac:dyDescent="0.25">
      <c r="A902" s="17"/>
      <c r="B902" s="17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9"/>
      <c r="R902" s="20"/>
      <c r="S902" s="21"/>
      <c r="T902" s="22"/>
    </row>
    <row r="903" spans="1:20" ht="13.2" x14ac:dyDescent="0.25">
      <c r="A903" s="17"/>
      <c r="B903" s="17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9"/>
      <c r="R903" s="20"/>
      <c r="S903" s="21"/>
      <c r="T903" s="22"/>
    </row>
    <row r="904" spans="1:20" ht="13.2" x14ac:dyDescent="0.25">
      <c r="A904" s="17"/>
      <c r="B904" s="17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9"/>
      <c r="R904" s="20"/>
      <c r="S904" s="21"/>
      <c r="T904" s="22"/>
    </row>
    <row r="905" spans="1:20" ht="13.2" x14ac:dyDescent="0.25">
      <c r="A905" s="17"/>
      <c r="B905" s="17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9"/>
      <c r="R905" s="20"/>
      <c r="S905" s="21"/>
      <c r="T905" s="22"/>
    </row>
    <row r="906" spans="1:20" ht="13.2" x14ac:dyDescent="0.25">
      <c r="A906" s="17"/>
      <c r="B906" s="17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9"/>
      <c r="R906" s="20"/>
      <c r="S906" s="21"/>
      <c r="T906" s="22"/>
    </row>
    <row r="907" spans="1:20" ht="13.2" x14ac:dyDescent="0.25">
      <c r="A907" s="17"/>
      <c r="B907" s="17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9"/>
      <c r="R907" s="20"/>
      <c r="S907" s="21"/>
      <c r="T907" s="22"/>
    </row>
    <row r="908" spans="1:20" ht="13.2" x14ac:dyDescent="0.25">
      <c r="A908" s="17"/>
      <c r="B908" s="17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9"/>
      <c r="R908" s="20"/>
      <c r="S908" s="21"/>
      <c r="T908" s="22"/>
    </row>
    <row r="909" spans="1:20" ht="13.2" x14ac:dyDescent="0.25">
      <c r="A909" s="17"/>
      <c r="B909" s="17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9"/>
      <c r="R909" s="20"/>
      <c r="S909" s="21"/>
      <c r="T909" s="22"/>
    </row>
    <row r="910" spans="1:20" ht="13.2" x14ac:dyDescent="0.25">
      <c r="A910" s="17"/>
      <c r="B910" s="17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9"/>
      <c r="R910" s="20"/>
      <c r="S910" s="21"/>
      <c r="T910" s="22"/>
    </row>
    <row r="911" spans="1:20" ht="13.2" x14ac:dyDescent="0.25">
      <c r="A911" s="17"/>
      <c r="B911" s="17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9"/>
      <c r="R911" s="20"/>
      <c r="S911" s="21"/>
      <c r="T911" s="22"/>
    </row>
    <row r="912" spans="1:20" ht="13.2" x14ac:dyDescent="0.25">
      <c r="A912" s="17"/>
      <c r="B912" s="17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9"/>
      <c r="R912" s="20"/>
      <c r="S912" s="21"/>
      <c r="T912" s="22"/>
    </row>
    <row r="913" spans="1:20" ht="13.2" x14ac:dyDescent="0.25">
      <c r="A913" s="17"/>
      <c r="B913" s="17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9"/>
      <c r="R913" s="20"/>
      <c r="S913" s="21"/>
      <c r="T913" s="22"/>
    </row>
    <row r="914" spans="1:20" ht="13.2" x14ac:dyDescent="0.25">
      <c r="A914" s="17"/>
      <c r="B914" s="17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9"/>
      <c r="R914" s="20"/>
      <c r="S914" s="21"/>
      <c r="T914" s="22"/>
    </row>
    <row r="915" spans="1:20" ht="13.2" x14ac:dyDescent="0.25">
      <c r="A915" s="17"/>
      <c r="B915" s="17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9"/>
      <c r="R915" s="20"/>
      <c r="S915" s="21"/>
      <c r="T915" s="22"/>
    </row>
    <row r="916" spans="1:20" ht="13.2" x14ac:dyDescent="0.25">
      <c r="A916" s="17"/>
      <c r="B916" s="17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9"/>
      <c r="R916" s="20"/>
      <c r="S916" s="21"/>
      <c r="T916" s="22"/>
    </row>
    <row r="917" spans="1:20" ht="13.2" x14ac:dyDescent="0.25">
      <c r="A917" s="17"/>
      <c r="B917" s="17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9"/>
      <c r="R917" s="20"/>
      <c r="S917" s="21"/>
      <c r="T917" s="22"/>
    </row>
    <row r="918" spans="1:20" ht="13.2" x14ac:dyDescent="0.25">
      <c r="A918" s="17"/>
      <c r="B918" s="17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9"/>
      <c r="R918" s="20"/>
      <c r="S918" s="21"/>
      <c r="T918" s="22"/>
    </row>
    <row r="919" spans="1:20" ht="13.2" x14ac:dyDescent="0.25">
      <c r="A919" s="17"/>
      <c r="B919" s="17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9"/>
      <c r="R919" s="20"/>
      <c r="S919" s="21"/>
      <c r="T919" s="22"/>
    </row>
    <row r="920" spans="1:20" ht="13.2" x14ac:dyDescent="0.25">
      <c r="A920" s="17"/>
      <c r="B920" s="17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9"/>
      <c r="R920" s="20"/>
      <c r="S920" s="21"/>
      <c r="T920" s="22"/>
    </row>
    <row r="921" spans="1:20" ht="13.2" x14ac:dyDescent="0.25">
      <c r="A921" s="17"/>
      <c r="B921" s="17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9"/>
      <c r="R921" s="20"/>
      <c r="S921" s="21"/>
      <c r="T921" s="22"/>
    </row>
    <row r="922" spans="1:20" ht="13.2" x14ac:dyDescent="0.25">
      <c r="A922" s="17"/>
      <c r="B922" s="17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9"/>
      <c r="R922" s="20"/>
      <c r="S922" s="21"/>
      <c r="T922" s="22"/>
    </row>
    <row r="923" spans="1:20" ht="13.2" x14ac:dyDescent="0.25">
      <c r="A923" s="17"/>
      <c r="B923" s="17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9"/>
      <c r="R923" s="20"/>
      <c r="S923" s="21"/>
      <c r="T923" s="22"/>
    </row>
    <row r="924" spans="1:20" ht="13.2" x14ac:dyDescent="0.25">
      <c r="A924" s="17"/>
      <c r="B924" s="17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9"/>
      <c r="R924" s="20"/>
      <c r="S924" s="21"/>
      <c r="T924" s="22"/>
    </row>
    <row r="925" spans="1:20" ht="13.2" x14ac:dyDescent="0.25">
      <c r="A925" s="17"/>
      <c r="B925" s="17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9"/>
      <c r="R925" s="20"/>
      <c r="S925" s="21"/>
      <c r="T925" s="22"/>
    </row>
    <row r="926" spans="1:20" ht="13.2" x14ac:dyDescent="0.25">
      <c r="A926" s="17"/>
      <c r="B926" s="17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9"/>
      <c r="R926" s="20"/>
      <c r="S926" s="21"/>
      <c r="T926" s="22"/>
    </row>
    <row r="927" spans="1:20" ht="13.2" x14ac:dyDescent="0.25">
      <c r="A927" s="17"/>
      <c r="B927" s="17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9"/>
      <c r="R927" s="20"/>
      <c r="S927" s="21"/>
      <c r="T927" s="22"/>
    </row>
    <row r="928" spans="1:20" ht="13.2" x14ac:dyDescent="0.25">
      <c r="A928" s="17"/>
      <c r="B928" s="17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9"/>
      <c r="R928" s="20"/>
      <c r="S928" s="21"/>
      <c r="T928" s="22"/>
    </row>
    <row r="929" spans="1:20" ht="13.2" x14ac:dyDescent="0.25">
      <c r="A929" s="17"/>
      <c r="B929" s="17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9"/>
      <c r="R929" s="20"/>
      <c r="S929" s="21"/>
      <c r="T929" s="22"/>
    </row>
    <row r="930" spans="1:20" ht="13.2" x14ac:dyDescent="0.25">
      <c r="A930" s="17"/>
      <c r="B930" s="17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9"/>
      <c r="R930" s="20"/>
      <c r="S930" s="21"/>
      <c r="T930" s="22"/>
    </row>
    <row r="931" spans="1:20" ht="13.2" x14ac:dyDescent="0.25">
      <c r="A931" s="17"/>
      <c r="B931" s="17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9"/>
      <c r="R931" s="20"/>
      <c r="S931" s="21"/>
      <c r="T931" s="22"/>
    </row>
    <row r="932" spans="1:20" ht="13.2" x14ac:dyDescent="0.25">
      <c r="A932" s="17"/>
      <c r="B932" s="17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9"/>
      <c r="R932" s="20"/>
      <c r="S932" s="21"/>
      <c r="T932" s="22"/>
    </row>
    <row r="933" spans="1:20" ht="13.2" x14ac:dyDescent="0.25">
      <c r="A933" s="17"/>
      <c r="B933" s="17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9"/>
      <c r="R933" s="20"/>
      <c r="S933" s="21"/>
      <c r="T933" s="22"/>
    </row>
    <row r="934" spans="1:20" ht="13.2" x14ac:dyDescent="0.25">
      <c r="A934" s="17"/>
      <c r="B934" s="17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9"/>
      <c r="R934" s="20"/>
      <c r="S934" s="21"/>
      <c r="T934" s="22"/>
    </row>
    <row r="935" spans="1:20" ht="13.2" x14ac:dyDescent="0.25">
      <c r="A935" s="17"/>
      <c r="B935" s="17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9"/>
      <c r="R935" s="20"/>
      <c r="S935" s="21"/>
      <c r="T935" s="22"/>
    </row>
    <row r="936" spans="1:20" ht="13.2" x14ac:dyDescent="0.25">
      <c r="A936" s="17"/>
      <c r="B936" s="17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9"/>
      <c r="R936" s="20"/>
      <c r="S936" s="21"/>
      <c r="T936" s="22"/>
    </row>
    <row r="937" spans="1:20" ht="13.2" x14ac:dyDescent="0.25">
      <c r="A937" s="17"/>
      <c r="B937" s="17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9"/>
      <c r="R937" s="20"/>
      <c r="S937" s="21"/>
      <c r="T937" s="22"/>
    </row>
    <row r="938" spans="1:20" ht="13.2" x14ac:dyDescent="0.25">
      <c r="A938" s="17"/>
      <c r="B938" s="17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9"/>
      <c r="R938" s="20"/>
      <c r="S938" s="21"/>
      <c r="T938" s="22"/>
    </row>
    <row r="939" spans="1:20" ht="13.2" x14ac:dyDescent="0.25">
      <c r="A939" s="17"/>
      <c r="B939" s="17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9"/>
      <c r="R939" s="20"/>
      <c r="S939" s="21"/>
      <c r="T939" s="22"/>
    </row>
    <row r="940" spans="1:20" ht="13.2" x14ac:dyDescent="0.25">
      <c r="A940" s="17"/>
      <c r="B940" s="17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9"/>
      <c r="R940" s="20"/>
      <c r="S940" s="21"/>
      <c r="T940" s="22"/>
    </row>
    <row r="941" spans="1:20" ht="13.2" x14ac:dyDescent="0.25">
      <c r="A941" s="17"/>
      <c r="B941" s="17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9"/>
      <c r="R941" s="20"/>
      <c r="S941" s="21"/>
      <c r="T941" s="22"/>
    </row>
    <row r="942" spans="1:20" ht="13.2" x14ac:dyDescent="0.25">
      <c r="A942" s="17"/>
      <c r="B942" s="17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9"/>
      <c r="R942" s="20"/>
      <c r="S942" s="21"/>
      <c r="T942" s="22"/>
    </row>
    <row r="943" spans="1:20" ht="13.2" x14ac:dyDescent="0.25">
      <c r="A943" s="17"/>
      <c r="B943" s="17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9"/>
      <c r="R943" s="20"/>
      <c r="S943" s="21"/>
      <c r="T943" s="22"/>
    </row>
    <row r="944" spans="1:20" ht="13.2" x14ac:dyDescent="0.25">
      <c r="A944" s="17"/>
      <c r="B944" s="17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9"/>
      <c r="R944" s="20"/>
      <c r="S944" s="21"/>
      <c r="T944" s="22"/>
    </row>
    <row r="945" spans="1:20" ht="13.2" x14ac:dyDescent="0.25">
      <c r="A945" s="17"/>
      <c r="B945" s="17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9"/>
      <c r="R945" s="20"/>
      <c r="S945" s="21"/>
      <c r="T945" s="22"/>
    </row>
    <row r="946" spans="1:20" ht="13.2" x14ac:dyDescent="0.25">
      <c r="A946" s="17"/>
      <c r="B946" s="17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9"/>
      <c r="R946" s="20"/>
      <c r="S946" s="21"/>
      <c r="T946" s="22"/>
    </row>
    <row r="947" spans="1:20" ht="13.2" x14ac:dyDescent="0.25">
      <c r="A947" s="17"/>
      <c r="B947" s="17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9"/>
      <c r="R947" s="20"/>
      <c r="S947" s="21"/>
      <c r="T947" s="22"/>
    </row>
    <row r="948" spans="1:20" ht="13.2" x14ac:dyDescent="0.25">
      <c r="A948" s="17"/>
      <c r="B948" s="17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9"/>
      <c r="R948" s="20"/>
      <c r="S948" s="21"/>
      <c r="T948" s="22"/>
    </row>
    <row r="949" spans="1:20" ht="13.2" x14ac:dyDescent="0.25">
      <c r="A949" s="17"/>
      <c r="B949" s="17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9"/>
      <c r="R949" s="20"/>
      <c r="S949" s="21"/>
      <c r="T949" s="22"/>
    </row>
    <row r="950" spans="1:20" ht="13.2" x14ac:dyDescent="0.25">
      <c r="A950" s="17"/>
      <c r="B950" s="17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9"/>
      <c r="R950" s="20"/>
      <c r="S950" s="21"/>
      <c r="T950" s="22"/>
    </row>
    <row r="951" spans="1:20" ht="13.2" x14ac:dyDescent="0.25">
      <c r="A951" s="17"/>
      <c r="B951" s="17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9"/>
      <c r="R951" s="20"/>
      <c r="S951" s="21"/>
      <c r="T951" s="22"/>
    </row>
    <row r="952" spans="1:20" ht="13.2" x14ac:dyDescent="0.25">
      <c r="A952" s="17"/>
      <c r="B952" s="17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9"/>
      <c r="R952" s="20"/>
      <c r="S952" s="21"/>
      <c r="T952" s="22"/>
    </row>
    <row r="953" spans="1:20" ht="13.2" x14ac:dyDescent="0.25">
      <c r="A953" s="17"/>
      <c r="B953" s="17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9"/>
      <c r="R953" s="20"/>
      <c r="S953" s="21"/>
      <c r="T953" s="22"/>
    </row>
    <row r="954" spans="1:20" ht="13.2" x14ac:dyDescent="0.25">
      <c r="A954" s="17"/>
      <c r="B954" s="17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9"/>
      <c r="R954" s="20"/>
      <c r="S954" s="21"/>
      <c r="T954" s="22"/>
    </row>
    <row r="955" spans="1:20" ht="13.2" x14ac:dyDescent="0.25">
      <c r="A955" s="17"/>
      <c r="B955" s="17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9"/>
      <c r="R955" s="20"/>
      <c r="S955" s="21"/>
      <c r="T955" s="22"/>
    </row>
    <row r="956" spans="1:20" ht="13.2" x14ac:dyDescent="0.25">
      <c r="A956" s="17"/>
      <c r="B956" s="17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9"/>
      <c r="R956" s="20"/>
      <c r="S956" s="21"/>
      <c r="T956" s="22"/>
    </row>
    <row r="957" spans="1:20" ht="13.2" x14ac:dyDescent="0.25">
      <c r="A957" s="17"/>
      <c r="B957" s="17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9"/>
      <c r="R957" s="20"/>
      <c r="S957" s="21"/>
      <c r="T957" s="22"/>
    </row>
    <row r="958" spans="1:20" ht="13.2" x14ac:dyDescent="0.25">
      <c r="A958" s="17"/>
      <c r="B958" s="17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9"/>
      <c r="R958" s="20"/>
      <c r="S958" s="21"/>
      <c r="T958" s="22"/>
    </row>
    <row r="959" spans="1:20" ht="13.2" x14ac:dyDescent="0.25">
      <c r="A959" s="17"/>
      <c r="B959" s="17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9"/>
      <c r="R959" s="20"/>
      <c r="S959" s="21"/>
      <c r="T959" s="22"/>
    </row>
    <row r="960" spans="1:20" ht="13.2" x14ac:dyDescent="0.25">
      <c r="A960" s="17"/>
      <c r="B960" s="17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9"/>
      <c r="R960" s="20"/>
      <c r="S960" s="21"/>
      <c r="T960" s="22"/>
    </row>
    <row r="961" spans="1:20" ht="13.2" x14ac:dyDescent="0.25">
      <c r="A961" s="17"/>
      <c r="B961" s="17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9"/>
      <c r="R961" s="20"/>
      <c r="S961" s="21"/>
      <c r="T961" s="22"/>
    </row>
    <row r="962" spans="1:20" ht="13.2" x14ac:dyDescent="0.25">
      <c r="A962" s="17"/>
      <c r="B962" s="17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9"/>
      <c r="R962" s="20"/>
      <c r="S962" s="21"/>
      <c r="T962" s="22"/>
    </row>
    <row r="963" spans="1:20" ht="13.2" x14ac:dyDescent="0.25">
      <c r="A963" s="17"/>
      <c r="B963" s="17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9"/>
      <c r="R963" s="20"/>
      <c r="S963" s="21"/>
      <c r="T963" s="22"/>
    </row>
    <row r="964" spans="1:20" ht="13.2" x14ac:dyDescent="0.25">
      <c r="A964" s="17"/>
      <c r="B964" s="17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9"/>
      <c r="R964" s="20"/>
      <c r="S964" s="21"/>
      <c r="T964" s="22"/>
    </row>
    <row r="965" spans="1:20" ht="13.2" x14ac:dyDescent="0.25">
      <c r="A965" s="17"/>
      <c r="B965" s="17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9"/>
      <c r="R965" s="20"/>
      <c r="S965" s="21"/>
      <c r="T965" s="22"/>
    </row>
    <row r="966" spans="1:20" ht="13.2" x14ac:dyDescent="0.25">
      <c r="A966" s="17"/>
      <c r="B966" s="17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9"/>
      <c r="R966" s="20"/>
      <c r="S966" s="21"/>
      <c r="T966" s="22"/>
    </row>
    <row r="967" spans="1:20" ht="13.2" x14ac:dyDescent="0.25">
      <c r="A967" s="17"/>
      <c r="B967" s="17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9"/>
      <c r="R967" s="20"/>
      <c r="S967" s="21"/>
      <c r="T967" s="22"/>
    </row>
    <row r="968" spans="1:20" ht="13.2" x14ac:dyDescent="0.25">
      <c r="A968" s="17"/>
      <c r="B968" s="17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9"/>
      <c r="R968" s="20"/>
      <c r="S968" s="21"/>
      <c r="T968" s="22"/>
    </row>
    <row r="969" spans="1:20" ht="13.2" x14ac:dyDescent="0.25">
      <c r="A969" s="17"/>
      <c r="B969" s="17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9"/>
      <c r="R969" s="20"/>
      <c r="S969" s="21"/>
      <c r="T969" s="22"/>
    </row>
    <row r="970" spans="1:20" ht="13.2" x14ac:dyDescent="0.25">
      <c r="A970" s="17"/>
      <c r="B970" s="17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9"/>
      <c r="R970" s="20"/>
      <c r="S970" s="21"/>
      <c r="T970" s="22"/>
    </row>
    <row r="971" spans="1:20" ht="13.2" x14ac:dyDescent="0.25">
      <c r="A971" s="17"/>
      <c r="B971" s="17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9"/>
      <c r="R971" s="20"/>
      <c r="S971" s="21"/>
      <c r="T971" s="22"/>
    </row>
    <row r="972" spans="1:20" ht="13.2" x14ac:dyDescent="0.25">
      <c r="A972" s="17"/>
      <c r="B972" s="17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9"/>
      <c r="R972" s="20"/>
      <c r="S972" s="21"/>
      <c r="T972" s="22"/>
    </row>
    <row r="973" spans="1:20" ht="13.2" x14ac:dyDescent="0.25">
      <c r="A973" s="17"/>
      <c r="B973" s="17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9"/>
      <c r="R973" s="20"/>
      <c r="S973" s="21"/>
      <c r="T973" s="22"/>
    </row>
    <row r="974" spans="1:20" ht="13.2" x14ac:dyDescent="0.25">
      <c r="A974" s="17"/>
      <c r="B974" s="17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9"/>
      <c r="R974" s="20"/>
      <c r="S974" s="21"/>
      <c r="T974" s="22"/>
    </row>
    <row r="975" spans="1:20" ht="13.2" x14ac:dyDescent="0.25">
      <c r="A975" s="17"/>
      <c r="B975" s="17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9"/>
      <c r="R975" s="20"/>
      <c r="S975" s="21"/>
      <c r="T975" s="22"/>
    </row>
    <row r="976" spans="1:20" ht="13.2" x14ac:dyDescent="0.25">
      <c r="A976" s="17"/>
      <c r="B976" s="17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9"/>
      <c r="R976" s="20"/>
      <c r="S976" s="21"/>
      <c r="T976" s="22"/>
    </row>
    <row r="977" spans="1:20" ht="13.2" x14ac:dyDescent="0.25">
      <c r="A977" s="17"/>
      <c r="B977" s="17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9"/>
      <c r="R977" s="20"/>
      <c r="S977" s="21"/>
      <c r="T977" s="22"/>
    </row>
    <row r="978" spans="1:20" ht="13.2" x14ac:dyDescent="0.25">
      <c r="A978" s="17"/>
      <c r="B978" s="17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9"/>
      <c r="R978" s="20"/>
      <c r="S978" s="21"/>
      <c r="T978" s="22"/>
    </row>
    <row r="979" spans="1:20" ht="13.2" x14ac:dyDescent="0.25">
      <c r="A979" s="17"/>
      <c r="B979" s="17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9"/>
      <c r="R979" s="20"/>
      <c r="S979" s="21"/>
      <c r="T979" s="22"/>
    </row>
    <row r="980" spans="1:20" ht="13.2" x14ac:dyDescent="0.25">
      <c r="A980" s="17"/>
      <c r="B980" s="17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9"/>
      <c r="R980" s="20"/>
      <c r="S980" s="21"/>
      <c r="T980" s="22"/>
    </row>
    <row r="981" spans="1:20" ht="13.2" x14ac:dyDescent="0.25">
      <c r="A981" s="17"/>
      <c r="B981" s="17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9"/>
      <c r="R981" s="20"/>
      <c r="S981" s="21"/>
      <c r="T981" s="22"/>
    </row>
    <row r="982" spans="1:20" ht="13.2" x14ac:dyDescent="0.25">
      <c r="A982" s="17"/>
      <c r="B982" s="17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9"/>
      <c r="R982" s="20"/>
      <c r="S982" s="21"/>
      <c r="T982" s="22"/>
    </row>
    <row r="983" spans="1:20" ht="13.2" x14ac:dyDescent="0.25">
      <c r="A983" s="17"/>
      <c r="B983" s="17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9"/>
      <c r="R983" s="20"/>
      <c r="S983" s="21"/>
      <c r="T983" s="22"/>
    </row>
    <row r="984" spans="1:20" ht="13.2" x14ac:dyDescent="0.25">
      <c r="A984" s="17"/>
      <c r="B984" s="17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9"/>
      <c r="R984" s="20"/>
      <c r="S984" s="21"/>
      <c r="T984" s="22"/>
    </row>
    <row r="985" spans="1:20" ht="13.2" x14ac:dyDescent="0.25">
      <c r="A985" s="17"/>
      <c r="B985" s="17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9"/>
      <c r="R985" s="20"/>
      <c r="S985" s="21"/>
      <c r="T985" s="22"/>
    </row>
    <row r="986" spans="1:20" ht="13.2" x14ac:dyDescent="0.25">
      <c r="A986" s="17"/>
      <c r="B986" s="17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9"/>
      <c r="R986" s="20"/>
      <c r="S986" s="21"/>
      <c r="T986" s="22"/>
    </row>
    <row r="987" spans="1:20" ht="13.2" x14ac:dyDescent="0.25">
      <c r="A987" s="17"/>
      <c r="B987" s="17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9"/>
      <c r="R987" s="20"/>
      <c r="S987" s="21"/>
      <c r="T987" s="22"/>
    </row>
    <row r="988" spans="1:20" ht="13.2" x14ac:dyDescent="0.25">
      <c r="A988" s="17"/>
      <c r="B988" s="17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9"/>
      <c r="R988" s="20"/>
      <c r="S988" s="21"/>
      <c r="T988" s="22"/>
    </row>
    <row r="989" spans="1:20" ht="13.2" x14ac:dyDescent="0.25">
      <c r="A989" s="17"/>
      <c r="B989" s="17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9"/>
      <c r="R989" s="20"/>
      <c r="S989" s="21"/>
      <c r="T989" s="22"/>
    </row>
    <row r="990" spans="1:20" ht="13.2" x14ac:dyDescent="0.25">
      <c r="A990" s="17"/>
      <c r="B990" s="17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9"/>
      <c r="R990" s="20"/>
      <c r="S990" s="21"/>
      <c r="T990" s="22"/>
    </row>
    <row r="991" spans="1:20" ht="13.2" x14ac:dyDescent="0.25">
      <c r="A991" s="17"/>
      <c r="B991" s="17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9"/>
      <c r="R991" s="20"/>
      <c r="S991" s="21"/>
      <c r="T991" s="22"/>
    </row>
    <row r="992" spans="1:20" ht="13.2" x14ac:dyDescent="0.25">
      <c r="A992" s="17"/>
      <c r="B992" s="17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9"/>
      <c r="R992" s="20"/>
      <c r="S992" s="21"/>
      <c r="T992" s="22"/>
    </row>
    <row r="993" spans="1:20" ht="13.2" x14ac:dyDescent="0.25">
      <c r="A993" s="17"/>
      <c r="B993" s="17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9"/>
      <c r="R993" s="20"/>
      <c r="S993" s="21"/>
      <c r="T993" s="22"/>
    </row>
    <row r="994" spans="1:20" ht="13.2" x14ac:dyDescent="0.25">
      <c r="A994" s="17"/>
      <c r="B994" s="17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9"/>
      <c r="R994" s="20"/>
      <c r="S994" s="21"/>
      <c r="T994" s="22"/>
    </row>
    <row r="995" spans="1:20" ht="13.2" x14ac:dyDescent="0.25">
      <c r="A995" s="17"/>
      <c r="B995" s="17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9"/>
      <c r="R995" s="20"/>
      <c r="S995" s="21"/>
      <c r="T995" s="22"/>
    </row>
    <row r="996" spans="1:20" ht="13.2" x14ac:dyDescent="0.25">
      <c r="A996" s="17"/>
      <c r="B996" s="17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9"/>
      <c r="R996" s="20"/>
      <c r="S996" s="21"/>
      <c r="T996" s="22"/>
    </row>
    <row r="997" spans="1:20" ht="13.2" x14ac:dyDescent="0.25">
      <c r="A997" s="17"/>
      <c r="B997" s="17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9"/>
      <c r="R997" s="20"/>
      <c r="S997" s="21"/>
      <c r="T997" s="22"/>
    </row>
    <row r="998" spans="1:20" ht="13.2" x14ac:dyDescent="0.25">
      <c r="A998" s="17"/>
      <c r="B998" s="17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9"/>
      <c r="R998" s="20"/>
      <c r="S998" s="21"/>
      <c r="T998" s="22"/>
    </row>
    <row r="999" spans="1:20" ht="13.2" x14ac:dyDescent="0.25">
      <c r="A999" s="17"/>
      <c r="B999" s="17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9"/>
      <c r="R999" s="20"/>
      <c r="S999" s="21"/>
      <c r="T999" s="22"/>
    </row>
    <row r="1000" spans="1:20" ht="13.2" x14ac:dyDescent="0.25">
      <c r="A1000" s="17"/>
      <c r="B1000" s="17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9"/>
      <c r="R1000" s="20"/>
      <c r="S1000" s="21"/>
      <c r="T1000" s="22"/>
    </row>
    <row r="1001" spans="1:20" ht="13.2" x14ac:dyDescent="0.25">
      <c r="A1001" s="17"/>
      <c r="B1001" s="17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9"/>
      <c r="R1001" s="20"/>
      <c r="S1001" s="21"/>
      <c r="T1001" s="22"/>
    </row>
    <row r="1002" spans="1:20" ht="13.2" x14ac:dyDescent="0.25">
      <c r="A1002" s="17"/>
      <c r="B1002" s="17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9"/>
      <c r="R1002" s="20"/>
      <c r="S1002" s="21"/>
      <c r="T1002" s="22"/>
    </row>
    <row r="1003" spans="1:20" ht="13.2" x14ac:dyDescent="0.25">
      <c r="A1003" s="17"/>
      <c r="B1003" s="17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9"/>
      <c r="R1003" s="20"/>
      <c r="S1003" s="21"/>
      <c r="T1003" s="22"/>
    </row>
    <row r="1004" spans="1:20" ht="13.2" x14ac:dyDescent="0.25">
      <c r="A1004" s="17"/>
      <c r="B1004" s="17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9"/>
      <c r="R1004" s="20"/>
      <c r="S1004" s="21"/>
      <c r="T1004" s="22"/>
    </row>
    <row r="1005" spans="1:20" ht="13.2" x14ac:dyDescent="0.25">
      <c r="A1005" s="17"/>
      <c r="B1005" s="17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9"/>
      <c r="R1005" s="20"/>
      <c r="S1005" s="21"/>
      <c r="T1005" s="22"/>
    </row>
    <row r="1006" spans="1:20" ht="13.2" x14ac:dyDescent="0.25">
      <c r="A1006" s="17"/>
      <c r="B1006" s="17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9"/>
      <c r="R1006" s="20"/>
      <c r="S1006" s="21"/>
      <c r="T1006" s="22"/>
    </row>
    <row r="1007" spans="1:20" ht="13.2" x14ac:dyDescent="0.25">
      <c r="A1007" s="17"/>
      <c r="B1007" s="17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9"/>
      <c r="R1007" s="20"/>
      <c r="S1007" s="21"/>
      <c r="T1007" s="22"/>
    </row>
    <row r="1008" spans="1:20" ht="13.2" x14ac:dyDescent="0.25">
      <c r="A1008" s="17"/>
      <c r="B1008" s="17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9"/>
      <c r="R1008" s="20"/>
      <c r="S1008" s="21"/>
      <c r="T1008" s="22"/>
    </row>
    <row r="1009" spans="1:20" ht="13.2" x14ac:dyDescent="0.25">
      <c r="A1009" s="17"/>
      <c r="B1009" s="17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9"/>
      <c r="R1009" s="20"/>
      <c r="S1009" s="21"/>
      <c r="T1009" s="22"/>
    </row>
    <row r="1010" spans="1:20" ht="13.2" x14ac:dyDescent="0.25">
      <c r="A1010" s="17"/>
      <c r="B1010" s="17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9"/>
      <c r="R1010" s="20"/>
      <c r="S1010" s="21"/>
      <c r="T1010" s="22"/>
    </row>
    <row r="1011" spans="1:20" ht="13.2" x14ac:dyDescent="0.25">
      <c r="A1011" s="17"/>
      <c r="B1011" s="17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9"/>
      <c r="R1011" s="20"/>
      <c r="S1011" s="21"/>
      <c r="T1011" s="22"/>
    </row>
    <row r="1012" spans="1:20" ht="13.2" x14ac:dyDescent="0.25">
      <c r="A1012" s="17"/>
      <c r="B1012" s="17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9"/>
      <c r="R1012" s="20"/>
      <c r="S1012" s="21"/>
      <c r="T1012" s="22"/>
    </row>
    <row r="1013" spans="1:20" ht="13.2" x14ac:dyDescent="0.25">
      <c r="A1013" s="17"/>
      <c r="B1013" s="17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9"/>
      <c r="R1013" s="20"/>
      <c r="S1013" s="21"/>
      <c r="T1013" s="22"/>
    </row>
    <row r="1014" spans="1:20" ht="13.2" x14ac:dyDescent="0.25">
      <c r="A1014" s="17"/>
      <c r="B1014" s="17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9"/>
      <c r="R1014" s="20"/>
      <c r="S1014" s="21"/>
      <c r="T1014" s="22"/>
    </row>
    <row r="1015" spans="1:20" ht="13.2" x14ac:dyDescent="0.25">
      <c r="A1015" s="17"/>
      <c r="B1015" s="17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9"/>
      <c r="R1015" s="20"/>
      <c r="S1015" s="21"/>
      <c r="T1015" s="22"/>
    </row>
    <row r="1016" spans="1:20" ht="13.2" x14ac:dyDescent="0.25">
      <c r="A1016" s="17"/>
      <c r="B1016" s="17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9"/>
      <c r="R1016" s="20"/>
      <c r="S1016" s="21"/>
      <c r="T1016" s="22"/>
    </row>
    <row r="1017" spans="1:20" ht="13.2" x14ac:dyDescent="0.25">
      <c r="A1017" s="17"/>
      <c r="B1017" s="17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  <c r="P1017" s="18"/>
      <c r="Q1017" s="19"/>
      <c r="R1017" s="20"/>
      <c r="S1017" s="21"/>
      <c r="T1017" s="22"/>
    </row>
    <row r="1018" spans="1:20" ht="13.2" x14ac:dyDescent="0.25">
      <c r="A1018" s="17"/>
      <c r="B1018" s="17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9"/>
      <c r="R1018" s="20"/>
      <c r="S1018" s="21"/>
      <c r="T1018" s="22"/>
    </row>
    <row r="1019" spans="1:20" ht="13.2" x14ac:dyDescent="0.25">
      <c r="A1019" s="17"/>
      <c r="B1019" s="17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  <c r="P1019" s="18"/>
      <c r="Q1019" s="19"/>
      <c r="R1019" s="20"/>
      <c r="S1019" s="21"/>
      <c r="T1019" s="22"/>
    </row>
    <row r="1020" spans="1:20" ht="13.2" x14ac:dyDescent="0.25">
      <c r="A1020" s="17"/>
      <c r="B1020" s="17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9"/>
      <c r="R1020" s="20"/>
      <c r="S1020" s="21"/>
      <c r="T1020" s="22"/>
    </row>
    <row r="1021" spans="1:20" ht="13.2" x14ac:dyDescent="0.25">
      <c r="A1021" s="17"/>
      <c r="B1021" s="17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  <c r="P1021" s="18"/>
      <c r="Q1021" s="19"/>
      <c r="R1021" s="20"/>
      <c r="S1021" s="21"/>
      <c r="T1021" s="22"/>
    </row>
    <row r="1022" spans="1:20" ht="13.2" x14ac:dyDescent="0.25">
      <c r="A1022" s="17"/>
      <c r="B1022" s="17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  <c r="P1022" s="18"/>
      <c r="Q1022" s="19"/>
      <c r="R1022" s="20"/>
      <c r="S1022" s="21"/>
      <c r="T1022" s="22"/>
    </row>
    <row r="1023" spans="1:20" ht="13.2" x14ac:dyDescent="0.25">
      <c r="A1023" s="17"/>
      <c r="B1023" s="17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  <c r="P1023" s="18"/>
      <c r="Q1023" s="19"/>
      <c r="R1023" s="20"/>
      <c r="S1023" s="21"/>
      <c r="T1023" s="22"/>
    </row>
    <row r="1024" spans="1:20" ht="13.2" x14ac:dyDescent="0.25">
      <c r="A1024" s="17"/>
      <c r="B1024" s="17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9"/>
      <c r="R1024" s="20"/>
      <c r="S1024" s="21"/>
      <c r="T1024" s="22"/>
    </row>
    <row r="1025" spans="1:20" ht="13.2" x14ac:dyDescent="0.25">
      <c r="A1025" s="17"/>
      <c r="B1025" s="17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  <c r="P1025" s="18"/>
      <c r="Q1025" s="19"/>
      <c r="R1025" s="20"/>
      <c r="S1025" s="21"/>
      <c r="T1025" s="22"/>
    </row>
  </sheetData>
  <mergeCells count="25">
    <mergeCell ref="B180:Q180"/>
    <mergeCell ref="B188:Q188"/>
    <mergeCell ref="B196:Q196"/>
    <mergeCell ref="B116:Q116"/>
    <mergeCell ref="B124:Q124"/>
    <mergeCell ref="B132:Q132"/>
    <mergeCell ref="B140:Q140"/>
    <mergeCell ref="B148:Q148"/>
    <mergeCell ref="B156:Q156"/>
    <mergeCell ref="B164:Q164"/>
    <mergeCell ref="B84:Q84"/>
    <mergeCell ref="B92:Q92"/>
    <mergeCell ref="B100:Q100"/>
    <mergeCell ref="B108:Q108"/>
    <mergeCell ref="B172:Q172"/>
    <mergeCell ref="B44:Q44"/>
    <mergeCell ref="B52:Q52"/>
    <mergeCell ref="B60:Q60"/>
    <mergeCell ref="B68:Q68"/>
    <mergeCell ref="B76:Q76"/>
    <mergeCell ref="B4:Q4"/>
    <mergeCell ref="B12:Q12"/>
    <mergeCell ref="B20:Q20"/>
    <mergeCell ref="B28:Q28"/>
    <mergeCell ref="B36:Q36"/>
  </mergeCells>
  <conditionalFormatting sqref="V13">
    <cfRule type="notContainsBlanks" dxfId="7" priority="1">
      <formula>LEN(TRIM(V13))&gt;0</formula>
    </cfRule>
  </conditionalFormatting>
  <dataValidations count="3">
    <dataValidation type="custom" allowBlank="1" showDropDown="1" showInputMessage="1" showErrorMessage="1" prompt="Ide csak az elért magasság, valamint a DNS, NH, DQ jelek írható!" sqref="Q5:Q9 Q13:Q17 Q21:Q25 Q29:Q33 Q37:Q41 Q45:Q49 Q53:Q57 Q61:Q65 Q69:Q73 Q77:Q81 Q85:Q89 Q93:Q97 Q101:Q105 Q109:Q113 Q117:Q121 Q125:Q129 Q133:Q137 Q141:Q145 Q149:Q153 Q157:Q161 Q165:Q169 Q173:Q177 Q181:Q185 Q189:Q193 Q197:Q201" xr:uid="{00000000-0002-0000-0000-000000000000}">
      <formula1>REGEXMATCH(Q5, "^\d,\d\d$|^NH$|^DNS$")</formula1>
    </dataValidation>
    <dataValidation type="custom" allowBlank="1" showDropDown="1" showInputMessage="1" showErrorMessage="1" prompt="Ebbe a cellába csak 2011 és 2014 közötti értéket kell megadni!" sqref="D5:D9 D13:D17 D21:D25 D29:D33 D37:D41 D45:D49 D53:D57 D61:D65 D69:D73 D77:D81 D85:D89 D93:D97 D101:D105 D109:D113 D117:D121 D125:D129 D133:D137 D141:D145 D149:D153 D157:D161 D165:D169 D173:D177 D181:D185 D189:D193 D197:D201" xr:uid="{00000000-0002-0000-0000-000001000000}">
      <formula1>OR(D5 = "2011", D5="2012",  D5="2013", D5="2014")</formula1>
    </dataValidation>
    <dataValidation type="custom" allowBlank="1" showDropDown="1" showInputMessage="1" showErrorMessage="1" prompt="Csak a kicsi x, o valamint a - jelet használja!" sqref="E5:P9 E13:P17 E21:P25 E29:P33 E37:P41 E45:P49 E53:P57 E61:P65 E69:P73 E77:P81 E85:P89 E93:P97 E109:P113 E117:P121 E125:P129 E133:P137 E141:P145 E149:P153 E157:P161 E165:P169 E173:P177 E181:P185 E189:P193 E197:P201" xr:uid="{00000000-0002-0000-0000-000002000000}">
      <formula1>REGEXMATCH(E5,"^-$|^x$|^x$|^xx$|^xxx$|^x-$|^xx-$|^o$|^xo$|^xxo$")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headerFooter>
    <oddHeader>&amp;L&amp;F&amp;C2025/2026. TANÉVI ATLÉTIKA ÜCSB DIÁKOLIMPIA&amp;RVÁRMEGYEI JEGYZŐKÖNYV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Z1000"/>
  <sheetViews>
    <sheetView workbookViewId="0"/>
  </sheetViews>
  <sheetFormatPr defaultColWidth="12.6640625" defaultRowHeight="15.75" customHeight="1" x14ac:dyDescent="0.25"/>
  <cols>
    <col min="2" max="2" width="11" customWidth="1"/>
    <col min="3" max="3" width="48.88671875" customWidth="1"/>
    <col min="4" max="4" width="30.109375" customWidth="1"/>
    <col min="5" max="5" width="40" customWidth="1"/>
    <col min="6" max="6" width="17.88671875" customWidth="1"/>
  </cols>
  <sheetData>
    <row r="1" spans="1:26" ht="15.75" customHeight="1" x14ac:dyDescent="0.7">
      <c r="A1" s="87" t="s">
        <v>791</v>
      </c>
      <c r="B1" s="87" t="s">
        <v>793</v>
      </c>
      <c r="C1" s="87" t="s">
        <v>794</v>
      </c>
      <c r="D1" s="88" t="s">
        <v>795</v>
      </c>
      <c r="E1" s="88" t="s">
        <v>790</v>
      </c>
      <c r="F1" s="89" t="s">
        <v>796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1"/>
    </row>
    <row r="2" spans="1:26" x14ac:dyDescent="0.25">
      <c r="A2" s="92" t="s">
        <v>792</v>
      </c>
      <c r="B2" s="92" t="s">
        <v>797</v>
      </c>
      <c r="C2" s="93" t="s">
        <v>798</v>
      </c>
      <c r="D2" s="94" t="s">
        <v>799</v>
      </c>
      <c r="E2" s="94" t="s">
        <v>799</v>
      </c>
      <c r="F2" s="90" t="s">
        <v>800</v>
      </c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1"/>
    </row>
    <row r="3" spans="1:26" x14ac:dyDescent="0.25">
      <c r="A3" s="92" t="s">
        <v>792</v>
      </c>
      <c r="B3" s="92" t="s">
        <v>801</v>
      </c>
      <c r="C3" s="93" t="s">
        <v>802</v>
      </c>
      <c r="D3" s="94" t="s">
        <v>799</v>
      </c>
      <c r="E3" s="94" t="s">
        <v>803</v>
      </c>
      <c r="F3" s="90" t="s">
        <v>800</v>
      </c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1"/>
    </row>
    <row r="4" spans="1:26" x14ac:dyDescent="0.25">
      <c r="A4" s="92" t="s">
        <v>792</v>
      </c>
      <c r="B4" s="92" t="s">
        <v>804</v>
      </c>
      <c r="C4" s="93" t="s">
        <v>29</v>
      </c>
      <c r="D4" s="94" t="s">
        <v>805</v>
      </c>
      <c r="E4" s="94" t="s">
        <v>805</v>
      </c>
      <c r="F4" s="90" t="s">
        <v>806</v>
      </c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1"/>
    </row>
    <row r="5" spans="1:26" x14ac:dyDescent="0.25">
      <c r="A5" s="92" t="s">
        <v>792</v>
      </c>
      <c r="B5" s="92" t="s">
        <v>807</v>
      </c>
      <c r="C5" s="93" t="s">
        <v>808</v>
      </c>
      <c r="D5" s="94" t="s">
        <v>809</v>
      </c>
      <c r="E5" s="94" t="s">
        <v>809</v>
      </c>
      <c r="F5" s="90" t="s">
        <v>806</v>
      </c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1"/>
    </row>
    <row r="6" spans="1:26" x14ac:dyDescent="0.25">
      <c r="A6" s="92" t="s">
        <v>792</v>
      </c>
      <c r="B6" s="92" t="s">
        <v>810</v>
      </c>
      <c r="C6" s="93" t="s">
        <v>148</v>
      </c>
      <c r="D6" s="94" t="s">
        <v>811</v>
      </c>
      <c r="E6" s="94" t="s">
        <v>811</v>
      </c>
      <c r="F6" s="90" t="s">
        <v>806</v>
      </c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1"/>
    </row>
    <row r="7" spans="1:26" x14ac:dyDescent="0.25">
      <c r="A7" s="92" t="s">
        <v>792</v>
      </c>
      <c r="B7" s="92" t="s">
        <v>812</v>
      </c>
      <c r="C7" s="93" t="s">
        <v>813</v>
      </c>
      <c r="D7" s="94" t="s">
        <v>811</v>
      </c>
      <c r="E7" s="94" t="s">
        <v>814</v>
      </c>
      <c r="F7" s="90" t="s">
        <v>806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1"/>
    </row>
    <row r="8" spans="1:26" x14ac:dyDescent="0.25">
      <c r="A8" s="92" t="s">
        <v>792</v>
      </c>
      <c r="B8" s="92" t="s">
        <v>815</v>
      </c>
      <c r="C8" s="93" t="s">
        <v>816</v>
      </c>
      <c r="D8" s="94" t="s">
        <v>811</v>
      </c>
      <c r="E8" s="94" t="s">
        <v>817</v>
      </c>
      <c r="F8" s="90" t="s">
        <v>806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1"/>
    </row>
    <row r="9" spans="1:26" x14ac:dyDescent="0.25">
      <c r="A9" s="92" t="s">
        <v>792</v>
      </c>
      <c r="B9" s="92" t="s">
        <v>818</v>
      </c>
      <c r="C9" s="93" t="s">
        <v>109</v>
      </c>
      <c r="D9" s="94" t="s">
        <v>819</v>
      </c>
      <c r="E9" s="94" t="s">
        <v>819</v>
      </c>
      <c r="F9" s="90" t="s">
        <v>806</v>
      </c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1"/>
    </row>
    <row r="10" spans="1:26" x14ac:dyDescent="0.25">
      <c r="A10" s="92" t="s">
        <v>792</v>
      </c>
      <c r="B10" s="92" t="s">
        <v>820</v>
      </c>
      <c r="C10" s="93" t="s">
        <v>821</v>
      </c>
      <c r="D10" s="94" t="s">
        <v>822</v>
      </c>
      <c r="E10" s="94" t="s">
        <v>822</v>
      </c>
      <c r="F10" s="90" t="s">
        <v>806</v>
      </c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1"/>
    </row>
    <row r="11" spans="1:26" x14ac:dyDescent="0.25">
      <c r="A11" s="92" t="s">
        <v>792</v>
      </c>
      <c r="B11" s="92" t="s">
        <v>823</v>
      </c>
      <c r="C11" s="93" t="s">
        <v>306</v>
      </c>
      <c r="D11" s="94" t="s">
        <v>824</v>
      </c>
      <c r="E11" s="94" t="s">
        <v>824</v>
      </c>
      <c r="F11" s="90" t="s">
        <v>806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1"/>
    </row>
    <row r="12" spans="1:26" x14ac:dyDescent="0.25">
      <c r="A12" s="92" t="s">
        <v>792</v>
      </c>
      <c r="B12" s="92" t="s">
        <v>825</v>
      </c>
      <c r="C12" s="93" t="s">
        <v>826</v>
      </c>
      <c r="D12" s="94" t="s">
        <v>824</v>
      </c>
      <c r="E12" s="94" t="s">
        <v>827</v>
      </c>
      <c r="F12" s="90" t="s">
        <v>828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1"/>
    </row>
    <row r="13" spans="1:26" x14ac:dyDescent="0.25">
      <c r="A13" s="92" t="s">
        <v>792</v>
      </c>
      <c r="B13" s="92" t="s">
        <v>829</v>
      </c>
      <c r="C13" s="93" t="s">
        <v>830</v>
      </c>
      <c r="D13" s="94" t="s">
        <v>824</v>
      </c>
      <c r="E13" s="94" t="s">
        <v>831</v>
      </c>
      <c r="F13" s="90" t="s">
        <v>832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1"/>
    </row>
    <row r="14" spans="1:26" x14ac:dyDescent="0.25">
      <c r="A14" s="92" t="s">
        <v>792</v>
      </c>
      <c r="B14" s="92" t="s">
        <v>833</v>
      </c>
      <c r="C14" s="93" t="s">
        <v>834</v>
      </c>
      <c r="D14" s="94" t="s">
        <v>824</v>
      </c>
      <c r="E14" s="94" t="s">
        <v>835</v>
      </c>
      <c r="F14" s="90" t="s">
        <v>836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1"/>
    </row>
    <row r="15" spans="1:26" x14ac:dyDescent="0.25">
      <c r="A15" s="92" t="s">
        <v>792</v>
      </c>
      <c r="B15" s="92" t="s">
        <v>837</v>
      </c>
      <c r="C15" s="93" t="s">
        <v>838</v>
      </c>
      <c r="D15" s="94" t="s">
        <v>824</v>
      </c>
      <c r="E15" s="94" t="s">
        <v>839</v>
      </c>
      <c r="F15" s="90" t="s">
        <v>840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1"/>
    </row>
    <row r="16" spans="1:26" x14ac:dyDescent="0.25">
      <c r="A16" s="92" t="s">
        <v>792</v>
      </c>
      <c r="B16" s="92" t="s">
        <v>841</v>
      </c>
      <c r="C16" s="93" t="s">
        <v>842</v>
      </c>
      <c r="D16" s="94" t="s">
        <v>824</v>
      </c>
      <c r="E16" s="94" t="s">
        <v>843</v>
      </c>
      <c r="F16" s="90" t="s">
        <v>844</v>
      </c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1"/>
    </row>
    <row r="17" spans="1:26" x14ac:dyDescent="0.25">
      <c r="A17" s="92" t="s">
        <v>792</v>
      </c>
      <c r="B17" s="92" t="s">
        <v>845</v>
      </c>
      <c r="C17" s="93" t="s">
        <v>46</v>
      </c>
      <c r="D17" s="94" t="s">
        <v>846</v>
      </c>
      <c r="E17" s="94" t="s">
        <v>846</v>
      </c>
      <c r="F17" s="90" t="s">
        <v>847</v>
      </c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1"/>
    </row>
    <row r="18" spans="1:26" x14ac:dyDescent="0.25">
      <c r="A18" s="92" t="s">
        <v>792</v>
      </c>
      <c r="B18" s="92" t="s">
        <v>848</v>
      </c>
      <c r="C18" s="93" t="s">
        <v>209</v>
      </c>
      <c r="D18" s="94" t="s">
        <v>849</v>
      </c>
      <c r="E18" s="94" t="s">
        <v>849</v>
      </c>
      <c r="F18" s="90" t="s">
        <v>850</v>
      </c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1"/>
    </row>
    <row r="19" spans="1:26" x14ac:dyDescent="0.25">
      <c r="A19" s="92" t="s">
        <v>792</v>
      </c>
      <c r="B19" s="92" t="s">
        <v>851</v>
      </c>
      <c r="C19" s="93" t="s">
        <v>78</v>
      </c>
      <c r="D19" s="94" t="s">
        <v>852</v>
      </c>
      <c r="E19" s="94" t="s">
        <v>852</v>
      </c>
      <c r="F19" s="90" t="s">
        <v>850</v>
      </c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1"/>
    </row>
    <row r="20" spans="1:26" x14ac:dyDescent="0.25">
      <c r="A20" s="92" t="s">
        <v>792</v>
      </c>
      <c r="B20" s="92" t="s">
        <v>853</v>
      </c>
      <c r="C20" s="93" t="s">
        <v>854</v>
      </c>
      <c r="D20" s="94" t="s">
        <v>855</v>
      </c>
      <c r="E20" s="94" t="s">
        <v>856</v>
      </c>
      <c r="F20" s="90" t="s">
        <v>800</v>
      </c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1"/>
    </row>
    <row r="21" spans="1:26" x14ac:dyDescent="0.25">
      <c r="A21" s="92" t="s">
        <v>792</v>
      </c>
      <c r="B21" s="92" t="s">
        <v>857</v>
      </c>
      <c r="C21" s="93" t="s">
        <v>858</v>
      </c>
      <c r="D21" s="94" t="s">
        <v>855</v>
      </c>
      <c r="E21" s="94" t="s">
        <v>855</v>
      </c>
      <c r="F21" s="90" t="s">
        <v>800</v>
      </c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1"/>
    </row>
    <row r="22" spans="1:26" x14ac:dyDescent="0.25">
      <c r="A22" s="92" t="s">
        <v>792</v>
      </c>
      <c r="B22" s="92" t="s">
        <v>859</v>
      </c>
      <c r="C22" s="93" t="s">
        <v>860</v>
      </c>
      <c r="D22" s="94" t="s">
        <v>861</v>
      </c>
      <c r="E22" s="94" t="s">
        <v>861</v>
      </c>
      <c r="F22" s="90" t="s">
        <v>862</v>
      </c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1"/>
    </row>
    <row r="23" spans="1:26" x14ac:dyDescent="0.25">
      <c r="A23" s="92" t="s">
        <v>792</v>
      </c>
      <c r="B23" s="92" t="s">
        <v>863</v>
      </c>
      <c r="C23" s="93" t="s">
        <v>864</v>
      </c>
      <c r="D23" s="94" t="s">
        <v>861</v>
      </c>
      <c r="E23" s="94" t="s">
        <v>865</v>
      </c>
      <c r="F23" s="90" t="s">
        <v>862</v>
      </c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1"/>
    </row>
    <row r="24" spans="1:26" x14ac:dyDescent="0.25">
      <c r="A24" s="92" t="s">
        <v>792</v>
      </c>
      <c r="B24" s="92" t="s">
        <v>866</v>
      </c>
      <c r="C24" s="93" t="s">
        <v>867</v>
      </c>
      <c r="D24" s="94" t="s">
        <v>868</v>
      </c>
      <c r="E24" s="94" t="s">
        <v>868</v>
      </c>
      <c r="F24" s="90" t="s">
        <v>869</v>
      </c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1"/>
    </row>
    <row r="25" spans="1:26" x14ac:dyDescent="0.25">
      <c r="A25" s="92" t="s">
        <v>792</v>
      </c>
      <c r="B25" s="92" t="s">
        <v>870</v>
      </c>
      <c r="C25" s="93" t="s">
        <v>871</v>
      </c>
      <c r="D25" s="94" t="s">
        <v>868</v>
      </c>
      <c r="E25" s="94" t="s">
        <v>872</v>
      </c>
      <c r="F25" s="90" t="s">
        <v>869</v>
      </c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1"/>
    </row>
    <row r="26" spans="1:26" x14ac:dyDescent="0.25">
      <c r="A26" s="92" t="s">
        <v>792</v>
      </c>
      <c r="B26" s="92" t="s">
        <v>873</v>
      </c>
      <c r="C26" s="93" t="s">
        <v>874</v>
      </c>
      <c r="D26" s="94" t="s">
        <v>875</v>
      </c>
      <c r="E26" s="94" t="s">
        <v>875</v>
      </c>
      <c r="F26" s="90" t="s">
        <v>869</v>
      </c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1"/>
    </row>
    <row r="27" spans="1:26" x14ac:dyDescent="0.25">
      <c r="A27" s="92" t="s">
        <v>792</v>
      </c>
      <c r="B27" s="92" t="s">
        <v>876</v>
      </c>
      <c r="C27" s="93" t="s">
        <v>877</v>
      </c>
      <c r="D27" s="94" t="s">
        <v>878</v>
      </c>
      <c r="E27" s="94" t="s">
        <v>878</v>
      </c>
      <c r="F27" s="90" t="s">
        <v>869</v>
      </c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1"/>
    </row>
    <row r="28" spans="1:26" ht="28.8" x14ac:dyDescent="0.25">
      <c r="A28" s="92" t="s">
        <v>792</v>
      </c>
      <c r="B28" s="92" t="s">
        <v>879</v>
      </c>
      <c r="C28" s="93" t="s">
        <v>880</v>
      </c>
      <c r="D28" s="94" t="s">
        <v>878</v>
      </c>
      <c r="E28" s="94" t="s">
        <v>881</v>
      </c>
      <c r="F28" s="90" t="s">
        <v>869</v>
      </c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1"/>
    </row>
    <row r="29" spans="1:26" ht="14.4" x14ac:dyDescent="0.25">
      <c r="A29" s="92" t="s">
        <v>792</v>
      </c>
      <c r="B29" s="92" t="s">
        <v>882</v>
      </c>
      <c r="C29" s="93" t="s">
        <v>883</v>
      </c>
      <c r="D29" s="94" t="s">
        <v>884</v>
      </c>
      <c r="E29" s="94" t="s">
        <v>884</v>
      </c>
      <c r="F29" s="90" t="s">
        <v>885</v>
      </c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1"/>
    </row>
    <row r="30" spans="1:26" ht="14.4" x14ac:dyDescent="0.25">
      <c r="A30" s="92" t="s">
        <v>792</v>
      </c>
      <c r="B30" s="92" t="s">
        <v>886</v>
      </c>
      <c r="C30" s="93" t="s">
        <v>887</v>
      </c>
      <c r="D30" s="94" t="s">
        <v>884</v>
      </c>
      <c r="E30" s="94" t="s">
        <v>888</v>
      </c>
      <c r="F30" s="90" t="s">
        <v>885</v>
      </c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1"/>
    </row>
    <row r="31" spans="1:26" ht="28.8" x14ac:dyDescent="0.25">
      <c r="A31" s="92" t="s">
        <v>792</v>
      </c>
      <c r="B31" s="92" t="s">
        <v>889</v>
      </c>
      <c r="C31" s="93" t="s">
        <v>589</v>
      </c>
      <c r="D31" s="94" t="s">
        <v>884</v>
      </c>
      <c r="E31" s="94" t="s">
        <v>890</v>
      </c>
      <c r="F31" s="90" t="s">
        <v>891</v>
      </c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1"/>
    </row>
    <row r="32" spans="1:26" ht="28.8" x14ac:dyDescent="0.25">
      <c r="A32" s="92" t="s">
        <v>792</v>
      </c>
      <c r="B32" s="92" t="s">
        <v>892</v>
      </c>
      <c r="C32" s="93" t="s">
        <v>893</v>
      </c>
      <c r="D32" s="94" t="s">
        <v>894</v>
      </c>
      <c r="E32" s="94" t="s">
        <v>894</v>
      </c>
      <c r="F32" s="90" t="s">
        <v>895</v>
      </c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1"/>
    </row>
    <row r="33" spans="1:26" ht="28.8" x14ac:dyDescent="0.25">
      <c r="A33" s="92" t="s">
        <v>792</v>
      </c>
      <c r="B33" s="92" t="s">
        <v>896</v>
      </c>
      <c r="C33" s="93" t="s">
        <v>897</v>
      </c>
      <c r="D33" s="94" t="s">
        <v>898</v>
      </c>
      <c r="E33" s="94" t="s">
        <v>898</v>
      </c>
      <c r="F33" s="90" t="s">
        <v>895</v>
      </c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1"/>
    </row>
    <row r="34" spans="1:26" ht="28.8" x14ac:dyDescent="0.25">
      <c r="A34" s="92" t="s">
        <v>792</v>
      </c>
      <c r="B34" s="92" t="s">
        <v>899</v>
      </c>
      <c r="C34" s="93" t="s">
        <v>900</v>
      </c>
      <c r="D34" s="94" t="s">
        <v>901</v>
      </c>
      <c r="E34" s="94" t="s">
        <v>901</v>
      </c>
      <c r="F34" s="90" t="s">
        <v>902</v>
      </c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1"/>
    </row>
    <row r="35" spans="1:26" ht="28.8" x14ac:dyDescent="0.25">
      <c r="A35" s="92" t="s">
        <v>792</v>
      </c>
      <c r="B35" s="92" t="s">
        <v>903</v>
      </c>
      <c r="C35" s="93" t="s">
        <v>904</v>
      </c>
      <c r="D35" s="94" t="s">
        <v>905</v>
      </c>
      <c r="E35" s="94" t="s">
        <v>905</v>
      </c>
      <c r="F35" s="90" t="s">
        <v>906</v>
      </c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1"/>
    </row>
    <row r="36" spans="1:26" ht="28.8" x14ac:dyDescent="0.25">
      <c r="A36" s="92" t="s">
        <v>792</v>
      </c>
      <c r="B36" s="92" t="s">
        <v>907</v>
      </c>
      <c r="C36" s="93" t="s">
        <v>908</v>
      </c>
      <c r="D36" s="94" t="s">
        <v>905</v>
      </c>
      <c r="E36" s="94" t="s">
        <v>909</v>
      </c>
      <c r="F36" s="90" t="s">
        <v>906</v>
      </c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1"/>
    </row>
    <row r="37" spans="1:26" ht="14.4" x14ac:dyDescent="0.25">
      <c r="A37" s="92" t="s">
        <v>792</v>
      </c>
      <c r="B37" s="92" t="s">
        <v>910</v>
      </c>
      <c r="C37" s="93" t="s">
        <v>911</v>
      </c>
      <c r="D37" s="94" t="s">
        <v>912</v>
      </c>
      <c r="E37" s="94" t="s">
        <v>912</v>
      </c>
      <c r="F37" s="90" t="s">
        <v>913</v>
      </c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1"/>
    </row>
    <row r="38" spans="1:26" ht="28.8" x14ac:dyDescent="0.25">
      <c r="A38" s="92" t="s">
        <v>792</v>
      </c>
      <c r="B38" s="92" t="s">
        <v>914</v>
      </c>
      <c r="C38" s="93" t="s">
        <v>915</v>
      </c>
      <c r="D38" s="94" t="s">
        <v>916</v>
      </c>
      <c r="E38" s="94" t="s">
        <v>916</v>
      </c>
      <c r="F38" s="90" t="s">
        <v>917</v>
      </c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1"/>
    </row>
    <row r="39" spans="1:26" ht="28.8" x14ac:dyDescent="0.25">
      <c r="A39" s="92" t="s">
        <v>792</v>
      </c>
      <c r="B39" s="92" t="s">
        <v>918</v>
      </c>
      <c r="C39" s="93" t="s">
        <v>919</v>
      </c>
      <c r="D39" s="94" t="s">
        <v>916</v>
      </c>
      <c r="E39" s="94" t="s">
        <v>920</v>
      </c>
      <c r="F39" s="90" t="s">
        <v>917</v>
      </c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1"/>
    </row>
    <row r="40" spans="1:26" ht="28.8" x14ac:dyDescent="0.25">
      <c r="A40" s="92" t="s">
        <v>792</v>
      </c>
      <c r="B40" s="92" t="s">
        <v>921</v>
      </c>
      <c r="C40" s="93" t="s">
        <v>922</v>
      </c>
      <c r="D40" s="94" t="s">
        <v>923</v>
      </c>
      <c r="E40" s="94" t="s">
        <v>923</v>
      </c>
      <c r="F40" s="90" t="s">
        <v>924</v>
      </c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1"/>
    </row>
    <row r="41" spans="1:26" ht="14.4" x14ac:dyDescent="0.25">
      <c r="A41" s="92" t="s">
        <v>792</v>
      </c>
      <c r="B41" s="92" t="s">
        <v>925</v>
      </c>
      <c r="C41" s="93" t="s">
        <v>926</v>
      </c>
      <c r="D41" s="94" t="s">
        <v>927</v>
      </c>
      <c r="E41" s="94" t="s">
        <v>927</v>
      </c>
      <c r="F41" s="90" t="s">
        <v>928</v>
      </c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1"/>
    </row>
    <row r="42" spans="1:26" ht="28.8" x14ac:dyDescent="0.25">
      <c r="A42" s="92" t="s">
        <v>792</v>
      </c>
      <c r="B42" s="92" t="s">
        <v>929</v>
      </c>
      <c r="C42" s="93" t="s">
        <v>930</v>
      </c>
      <c r="D42" s="94" t="s">
        <v>931</v>
      </c>
      <c r="E42" s="94" t="s">
        <v>931</v>
      </c>
      <c r="F42" s="90" t="s">
        <v>932</v>
      </c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1"/>
    </row>
    <row r="43" spans="1:26" ht="28.8" x14ac:dyDescent="0.25">
      <c r="A43" s="92" t="s">
        <v>792</v>
      </c>
      <c r="B43" s="92" t="s">
        <v>933</v>
      </c>
      <c r="C43" s="93" t="s">
        <v>934</v>
      </c>
      <c r="D43" s="94" t="s">
        <v>935</v>
      </c>
      <c r="E43" s="94" t="s">
        <v>935</v>
      </c>
      <c r="F43" s="90" t="s">
        <v>936</v>
      </c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1"/>
    </row>
    <row r="44" spans="1:26" ht="43.2" x14ac:dyDescent="0.25">
      <c r="A44" s="92" t="s">
        <v>792</v>
      </c>
      <c r="B44" s="92" t="s">
        <v>937</v>
      </c>
      <c r="C44" s="93" t="s">
        <v>938</v>
      </c>
      <c r="D44" s="94" t="s">
        <v>935</v>
      </c>
      <c r="E44" s="94" t="s">
        <v>939</v>
      </c>
      <c r="F44" s="90" t="s">
        <v>936</v>
      </c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1"/>
    </row>
    <row r="45" spans="1:26" ht="14.4" x14ac:dyDescent="0.25">
      <c r="A45" s="92" t="s">
        <v>792</v>
      </c>
      <c r="B45" s="92" t="s">
        <v>940</v>
      </c>
      <c r="C45" s="93" t="s">
        <v>941</v>
      </c>
      <c r="D45" s="94" t="s">
        <v>942</v>
      </c>
      <c r="E45" s="94" t="s">
        <v>942</v>
      </c>
      <c r="F45" s="90" t="s">
        <v>943</v>
      </c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1"/>
    </row>
    <row r="46" spans="1:26" ht="14.4" x14ac:dyDescent="0.25">
      <c r="A46" s="92" t="s">
        <v>792</v>
      </c>
      <c r="B46" s="92" t="s">
        <v>944</v>
      </c>
      <c r="C46" s="93" t="s">
        <v>945</v>
      </c>
      <c r="D46" s="94" t="s">
        <v>942</v>
      </c>
      <c r="E46" s="94" t="s">
        <v>946</v>
      </c>
      <c r="F46" s="90" t="s">
        <v>943</v>
      </c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1"/>
    </row>
    <row r="47" spans="1:26" ht="28.8" x14ac:dyDescent="0.25">
      <c r="A47" s="92" t="s">
        <v>792</v>
      </c>
      <c r="B47" s="92" t="s">
        <v>947</v>
      </c>
      <c r="C47" s="93" t="s">
        <v>948</v>
      </c>
      <c r="D47" s="94" t="s">
        <v>949</v>
      </c>
      <c r="E47" s="94" t="s">
        <v>949</v>
      </c>
      <c r="F47" s="90" t="s">
        <v>950</v>
      </c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1"/>
    </row>
    <row r="48" spans="1:26" ht="28.8" x14ac:dyDescent="0.25">
      <c r="A48" s="92" t="s">
        <v>792</v>
      </c>
      <c r="B48" s="92" t="s">
        <v>951</v>
      </c>
      <c r="C48" s="93" t="s">
        <v>952</v>
      </c>
      <c r="D48" s="94" t="s">
        <v>953</v>
      </c>
      <c r="E48" s="94" t="s">
        <v>953</v>
      </c>
      <c r="F48" s="90" t="s">
        <v>950</v>
      </c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1"/>
    </row>
    <row r="49" spans="1:26" ht="43.2" x14ac:dyDescent="0.25">
      <c r="A49" s="92" t="s">
        <v>792</v>
      </c>
      <c r="B49" s="92" t="s">
        <v>954</v>
      </c>
      <c r="C49" s="93" t="s">
        <v>955</v>
      </c>
      <c r="D49" s="94" t="s">
        <v>953</v>
      </c>
      <c r="E49" s="94" t="s">
        <v>956</v>
      </c>
      <c r="F49" s="90" t="s">
        <v>950</v>
      </c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1"/>
    </row>
    <row r="50" spans="1:26" ht="43.2" x14ac:dyDescent="0.25">
      <c r="A50" s="92" t="s">
        <v>792</v>
      </c>
      <c r="B50" s="92" t="s">
        <v>957</v>
      </c>
      <c r="C50" s="93" t="s">
        <v>958</v>
      </c>
      <c r="D50" s="94" t="s">
        <v>953</v>
      </c>
      <c r="E50" s="94" t="s">
        <v>959</v>
      </c>
      <c r="F50" s="90" t="s">
        <v>950</v>
      </c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1"/>
    </row>
    <row r="51" spans="1:26" ht="14.4" x14ac:dyDescent="0.25">
      <c r="A51" s="92" t="s">
        <v>792</v>
      </c>
      <c r="B51" s="92" t="s">
        <v>960</v>
      </c>
      <c r="C51" s="93" t="s">
        <v>961</v>
      </c>
      <c r="D51" s="94" t="s">
        <v>962</v>
      </c>
      <c r="E51" s="94" t="s">
        <v>962</v>
      </c>
      <c r="F51" s="90" t="s">
        <v>963</v>
      </c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1"/>
    </row>
    <row r="52" spans="1:26" ht="14.4" x14ac:dyDescent="0.25">
      <c r="A52" s="92" t="s">
        <v>792</v>
      </c>
      <c r="B52" s="92" t="s">
        <v>964</v>
      </c>
      <c r="C52" s="93" t="s">
        <v>965</v>
      </c>
      <c r="D52" s="94" t="s">
        <v>966</v>
      </c>
      <c r="E52" s="94" t="s">
        <v>966</v>
      </c>
      <c r="F52" s="90" t="s">
        <v>967</v>
      </c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1"/>
    </row>
    <row r="53" spans="1:26" ht="28.8" x14ac:dyDescent="0.25">
      <c r="A53" s="92" t="s">
        <v>792</v>
      </c>
      <c r="B53" s="92" t="s">
        <v>968</v>
      </c>
      <c r="C53" s="93" t="s">
        <v>969</v>
      </c>
      <c r="D53" s="94" t="s">
        <v>970</v>
      </c>
      <c r="E53" s="94" t="s">
        <v>971</v>
      </c>
      <c r="F53" s="90" t="s">
        <v>972</v>
      </c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1"/>
    </row>
    <row r="54" spans="1:26" ht="28.8" x14ac:dyDescent="0.25">
      <c r="A54" s="92" t="s">
        <v>792</v>
      </c>
      <c r="B54" s="92" t="s">
        <v>973</v>
      </c>
      <c r="C54" s="93" t="s">
        <v>974</v>
      </c>
      <c r="D54" s="94" t="s">
        <v>970</v>
      </c>
      <c r="E54" s="94" t="s">
        <v>970</v>
      </c>
      <c r="F54" s="90" t="s">
        <v>972</v>
      </c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1"/>
    </row>
    <row r="55" spans="1:26" ht="28.8" x14ac:dyDescent="0.25">
      <c r="A55" s="92" t="s">
        <v>792</v>
      </c>
      <c r="B55" s="92" t="s">
        <v>975</v>
      </c>
      <c r="C55" s="93" t="s">
        <v>976</v>
      </c>
      <c r="D55" s="94" t="s">
        <v>977</v>
      </c>
      <c r="E55" s="94" t="s">
        <v>977</v>
      </c>
      <c r="F55" s="90" t="s">
        <v>978</v>
      </c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1"/>
    </row>
    <row r="56" spans="1:26" ht="28.8" x14ac:dyDescent="0.25">
      <c r="A56" s="92" t="s">
        <v>792</v>
      </c>
      <c r="B56" s="92" t="s">
        <v>979</v>
      </c>
      <c r="C56" s="93" t="s">
        <v>980</v>
      </c>
      <c r="D56" s="94" t="s">
        <v>981</v>
      </c>
      <c r="E56" s="94" t="s">
        <v>981</v>
      </c>
      <c r="F56" s="90" t="s">
        <v>982</v>
      </c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1"/>
    </row>
    <row r="57" spans="1:26" ht="43.2" x14ac:dyDescent="0.25">
      <c r="A57" s="92" t="s">
        <v>792</v>
      </c>
      <c r="B57" s="92" t="s">
        <v>983</v>
      </c>
      <c r="C57" s="93" t="s">
        <v>984</v>
      </c>
      <c r="D57" s="94" t="s">
        <v>981</v>
      </c>
      <c r="E57" s="94" t="s">
        <v>985</v>
      </c>
      <c r="F57" s="90" t="s">
        <v>982</v>
      </c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1"/>
    </row>
    <row r="58" spans="1:26" ht="28.8" x14ac:dyDescent="0.25">
      <c r="A58" s="92" t="s">
        <v>792</v>
      </c>
      <c r="B58" s="92" t="s">
        <v>986</v>
      </c>
      <c r="C58" s="93" t="s">
        <v>987</v>
      </c>
      <c r="D58" s="94" t="s">
        <v>988</v>
      </c>
      <c r="E58" s="94" t="s">
        <v>988</v>
      </c>
      <c r="F58" s="90" t="s">
        <v>989</v>
      </c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1"/>
    </row>
    <row r="59" spans="1:26" ht="14.4" x14ac:dyDescent="0.25">
      <c r="A59" s="92" t="s">
        <v>792</v>
      </c>
      <c r="B59" s="92" t="s">
        <v>990</v>
      </c>
      <c r="C59" s="93" t="s">
        <v>991</v>
      </c>
      <c r="D59" s="94" t="s">
        <v>992</v>
      </c>
      <c r="E59" s="94" t="s">
        <v>992</v>
      </c>
      <c r="F59" s="90" t="s">
        <v>993</v>
      </c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1"/>
    </row>
    <row r="60" spans="1:26" ht="28.8" x14ac:dyDescent="0.25">
      <c r="A60" s="92" t="s">
        <v>792</v>
      </c>
      <c r="B60" s="92" t="s">
        <v>994</v>
      </c>
      <c r="C60" s="93" t="s">
        <v>995</v>
      </c>
      <c r="D60" s="94" t="s">
        <v>996</v>
      </c>
      <c r="E60" s="94" t="s">
        <v>996</v>
      </c>
      <c r="F60" s="90" t="s">
        <v>997</v>
      </c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1"/>
    </row>
    <row r="61" spans="1:26" ht="28.8" x14ac:dyDescent="0.25">
      <c r="A61" s="92" t="s">
        <v>792</v>
      </c>
      <c r="B61" s="92" t="s">
        <v>998</v>
      </c>
      <c r="C61" s="93" t="s">
        <v>999</v>
      </c>
      <c r="D61" s="94" t="s">
        <v>1000</v>
      </c>
      <c r="E61" s="94" t="s">
        <v>1000</v>
      </c>
      <c r="F61" s="90" t="s">
        <v>1001</v>
      </c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1"/>
    </row>
    <row r="62" spans="1:26" ht="28.8" x14ac:dyDescent="0.25">
      <c r="A62" s="92" t="s">
        <v>792</v>
      </c>
      <c r="B62" s="92" t="s">
        <v>1002</v>
      </c>
      <c r="C62" s="93" t="s">
        <v>1003</v>
      </c>
      <c r="D62" s="94" t="s">
        <v>1004</v>
      </c>
      <c r="E62" s="94" t="s">
        <v>1004</v>
      </c>
      <c r="F62" s="90" t="s">
        <v>806</v>
      </c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1"/>
    </row>
    <row r="63" spans="1:26" ht="43.2" x14ac:dyDescent="0.25">
      <c r="A63" s="92" t="s">
        <v>792</v>
      </c>
      <c r="B63" s="92" t="s">
        <v>1005</v>
      </c>
      <c r="C63" s="93" t="s">
        <v>1006</v>
      </c>
      <c r="D63" s="94" t="s">
        <v>1007</v>
      </c>
      <c r="E63" s="94" t="s">
        <v>1007</v>
      </c>
      <c r="F63" s="90" t="s">
        <v>1008</v>
      </c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1"/>
    </row>
    <row r="64" spans="1:26" ht="43.2" x14ac:dyDescent="0.25">
      <c r="A64" s="92" t="s">
        <v>792</v>
      </c>
      <c r="B64" s="92" t="s">
        <v>1009</v>
      </c>
      <c r="C64" s="93" t="s">
        <v>1010</v>
      </c>
      <c r="D64" s="94" t="s">
        <v>1007</v>
      </c>
      <c r="E64" s="94" t="s">
        <v>1011</v>
      </c>
      <c r="F64" s="90" t="s">
        <v>1008</v>
      </c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1"/>
    </row>
    <row r="65" spans="1:26" ht="43.2" x14ac:dyDescent="0.25">
      <c r="A65" s="92" t="s">
        <v>792</v>
      </c>
      <c r="B65" s="92" t="s">
        <v>1012</v>
      </c>
      <c r="C65" s="93" t="s">
        <v>1013</v>
      </c>
      <c r="D65" s="94" t="s">
        <v>1014</v>
      </c>
      <c r="E65" s="94" t="s">
        <v>1014</v>
      </c>
      <c r="F65" s="90" t="s">
        <v>1015</v>
      </c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1"/>
    </row>
    <row r="66" spans="1:26" ht="43.2" x14ac:dyDescent="0.25">
      <c r="A66" s="92" t="s">
        <v>792</v>
      </c>
      <c r="B66" s="92" t="s">
        <v>1016</v>
      </c>
      <c r="C66" s="93" t="s">
        <v>1017</v>
      </c>
      <c r="D66" s="94" t="s">
        <v>1014</v>
      </c>
      <c r="E66" s="94" t="s">
        <v>1018</v>
      </c>
      <c r="F66" s="90" t="s">
        <v>1015</v>
      </c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1"/>
    </row>
    <row r="67" spans="1:26" ht="28.8" x14ac:dyDescent="0.25">
      <c r="A67" s="92" t="s">
        <v>792</v>
      </c>
      <c r="B67" s="92" t="s">
        <v>1019</v>
      </c>
      <c r="C67" s="93" t="s">
        <v>1020</v>
      </c>
      <c r="D67" s="94" t="s">
        <v>1021</v>
      </c>
      <c r="E67" s="94" t="s">
        <v>1021</v>
      </c>
      <c r="F67" s="90" t="s">
        <v>847</v>
      </c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1"/>
    </row>
    <row r="68" spans="1:26" ht="43.2" x14ac:dyDescent="0.25">
      <c r="A68" s="92" t="s">
        <v>792</v>
      </c>
      <c r="B68" s="92" t="s">
        <v>1022</v>
      </c>
      <c r="C68" s="93" t="s">
        <v>180</v>
      </c>
      <c r="D68" s="94" t="s">
        <v>1023</v>
      </c>
      <c r="E68" s="94" t="s">
        <v>1023</v>
      </c>
      <c r="F68" s="90" t="s">
        <v>847</v>
      </c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1"/>
    </row>
    <row r="69" spans="1:26" ht="43.2" x14ac:dyDescent="0.25">
      <c r="A69" s="92" t="s">
        <v>792</v>
      </c>
      <c r="B69" s="92" t="s">
        <v>1024</v>
      </c>
      <c r="C69" s="93" t="s">
        <v>126</v>
      </c>
      <c r="D69" s="94" t="s">
        <v>1025</v>
      </c>
      <c r="E69" s="94" t="s">
        <v>1025</v>
      </c>
      <c r="F69" s="90" t="s">
        <v>847</v>
      </c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1"/>
    </row>
    <row r="70" spans="1:26" ht="57.6" x14ac:dyDescent="0.25">
      <c r="A70" s="92" t="s">
        <v>792</v>
      </c>
      <c r="B70" s="92" t="s">
        <v>1026</v>
      </c>
      <c r="C70" s="93" t="s">
        <v>1027</v>
      </c>
      <c r="D70" s="94" t="s">
        <v>1025</v>
      </c>
      <c r="E70" s="94" t="s">
        <v>1028</v>
      </c>
      <c r="F70" s="90" t="s">
        <v>847</v>
      </c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1"/>
    </row>
    <row r="71" spans="1:26" ht="57.6" x14ac:dyDescent="0.25">
      <c r="A71" s="92" t="s">
        <v>792</v>
      </c>
      <c r="B71" s="92" t="s">
        <v>1029</v>
      </c>
      <c r="C71" s="93" t="s">
        <v>1030</v>
      </c>
      <c r="D71" s="94" t="s">
        <v>1025</v>
      </c>
      <c r="E71" s="94" t="s">
        <v>1031</v>
      </c>
      <c r="F71" s="90" t="s">
        <v>1032</v>
      </c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1"/>
    </row>
    <row r="72" spans="1:26" ht="57.6" x14ac:dyDescent="0.25">
      <c r="A72" s="92" t="s">
        <v>792</v>
      </c>
      <c r="B72" s="92" t="s">
        <v>1033</v>
      </c>
      <c r="C72" s="93" t="s">
        <v>1034</v>
      </c>
      <c r="D72" s="94" t="s">
        <v>1025</v>
      </c>
      <c r="E72" s="94" t="s">
        <v>1035</v>
      </c>
      <c r="F72" s="90" t="s">
        <v>1036</v>
      </c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1"/>
    </row>
    <row r="73" spans="1:26" ht="72" x14ac:dyDescent="0.25">
      <c r="A73" s="92" t="s">
        <v>792</v>
      </c>
      <c r="B73" s="92" t="s">
        <v>1037</v>
      </c>
      <c r="C73" s="93" t="s">
        <v>1038</v>
      </c>
      <c r="D73" s="94" t="s">
        <v>1039</v>
      </c>
      <c r="E73" s="94" t="s">
        <v>1039</v>
      </c>
      <c r="F73" s="90" t="s">
        <v>792</v>
      </c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1"/>
    </row>
    <row r="74" spans="1:26" ht="28.8" x14ac:dyDescent="0.25">
      <c r="A74" s="92" t="s">
        <v>792</v>
      </c>
      <c r="B74" s="92" t="s">
        <v>1040</v>
      </c>
      <c r="C74" s="93" t="s">
        <v>438</v>
      </c>
      <c r="D74" s="94" t="s">
        <v>1041</v>
      </c>
      <c r="E74" s="94" t="s">
        <v>1041</v>
      </c>
      <c r="F74" s="90" t="s">
        <v>806</v>
      </c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1"/>
    </row>
    <row r="75" spans="1:26" ht="72" x14ac:dyDescent="0.25">
      <c r="A75" s="92" t="s">
        <v>792</v>
      </c>
      <c r="B75" s="92" t="s">
        <v>1042</v>
      </c>
      <c r="C75" s="93" t="s">
        <v>1043</v>
      </c>
      <c r="D75" s="94" t="s">
        <v>1044</v>
      </c>
      <c r="E75" s="94" t="s">
        <v>1044</v>
      </c>
      <c r="F75" s="90" t="s">
        <v>806</v>
      </c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1"/>
    </row>
    <row r="76" spans="1:26" ht="72" x14ac:dyDescent="0.25">
      <c r="A76" s="92" t="s">
        <v>792</v>
      </c>
      <c r="B76" s="92" t="s">
        <v>1045</v>
      </c>
      <c r="C76" s="93" t="s">
        <v>1046</v>
      </c>
      <c r="D76" s="94" t="s">
        <v>1044</v>
      </c>
      <c r="E76" s="94" t="s">
        <v>1047</v>
      </c>
      <c r="F76" s="90" t="s">
        <v>806</v>
      </c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1"/>
    </row>
    <row r="77" spans="1:26" ht="72" x14ac:dyDescent="0.25">
      <c r="A77" s="92" t="s">
        <v>792</v>
      </c>
      <c r="B77" s="92" t="s">
        <v>1048</v>
      </c>
      <c r="C77" s="93" t="s">
        <v>1049</v>
      </c>
      <c r="D77" s="94" t="s">
        <v>1044</v>
      </c>
      <c r="E77" s="94" t="s">
        <v>1050</v>
      </c>
      <c r="F77" s="90" t="s">
        <v>806</v>
      </c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1"/>
    </row>
    <row r="78" spans="1:26" ht="28.8" x14ac:dyDescent="0.25">
      <c r="A78" s="92" t="s">
        <v>792</v>
      </c>
      <c r="B78" s="92" t="s">
        <v>1051</v>
      </c>
      <c r="C78" s="93" t="s">
        <v>1052</v>
      </c>
      <c r="D78" s="94" t="s">
        <v>1053</v>
      </c>
      <c r="E78" s="94" t="s">
        <v>1053</v>
      </c>
      <c r="F78" s="90" t="s">
        <v>978</v>
      </c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1"/>
    </row>
    <row r="79" spans="1:26" ht="43.2" x14ac:dyDescent="0.25">
      <c r="A79" s="92" t="s">
        <v>792</v>
      </c>
      <c r="B79" s="92" t="s">
        <v>1054</v>
      </c>
      <c r="C79" s="93" t="s">
        <v>1055</v>
      </c>
      <c r="D79" s="94" t="s">
        <v>1056</v>
      </c>
      <c r="E79" s="94" t="s">
        <v>1056</v>
      </c>
      <c r="F79" s="90" t="s">
        <v>806</v>
      </c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1"/>
    </row>
    <row r="80" spans="1:26" ht="14.4" x14ac:dyDescent="0.25">
      <c r="A80" s="92" t="s">
        <v>792</v>
      </c>
      <c r="B80" s="92" t="s">
        <v>1057</v>
      </c>
      <c r="C80" s="93" t="s">
        <v>1058</v>
      </c>
      <c r="D80" s="94" t="s">
        <v>1059</v>
      </c>
      <c r="E80" s="94" t="s">
        <v>1059</v>
      </c>
      <c r="F80" s="90" t="s">
        <v>800</v>
      </c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1"/>
    </row>
    <row r="81" spans="1:26" ht="14.4" x14ac:dyDescent="0.25">
      <c r="A81" s="92" t="s">
        <v>792</v>
      </c>
      <c r="B81" s="92" t="s">
        <v>1060</v>
      </c>
      <c r="C81" s="93" t="s">
        <v>1061</v>
      </c>
      <c r="D81" s="94" t="s">
        <v>1062</v>
      </c>
      <c r="E81" s="94" t="s">
        <v>1063</v>
      </c>
      <c r="F81" s="90" t="s">
        <v>847</v>
      </c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1"/>
    </row>
    <row r="82" spans="1:26" ht="72" x14ac:dyDescent="0.25">
      <c r="A82" s="92" t="s">
        <v>792</v>
      </c>
      <c r="B82" s="92" t="s">
        <v>1064</v>
      </c>
      <c r="C82" s="93" t="s">
        <v>1065</v>
      </c>
      <c r="D82" s="94" t="s">
        <v>1066</v>
      </c>
      <c r="E82" s="94" t="s">
        <v>1066</v>
      </c>
      <c r="F82" s="90" t="s">
        <v>806</v>
      </c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1"/>
    </row>
    <row r="83" spans="1:26" ht="72" x14ac:dyDescent="0.25">
      <c r="A83" s="92" t="s">
        <v>792</v>
      </c>
      <c r="B83" s="92" t="s">
        <v>1067</v>
      </c>
      <c r="C83" s="93" t="s">
        <v>1068</v>
      </c>
      <c r="D83" s="94" t="s">
        <v>1066</v>
      </c>
      <c r="E83" s="94" t="s">
        <v>1069</v>
      </c>
      <c r="F83" s="90" t="s">
        <v>806</v>
      </c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1"/>
    </row>
    <row r="84" spans="1:26" ht="72" x14ac:dyDescent="0.25">
      <c r="A84" s="92" t="s">
        <v>792</v>
      </c>
      <c r="B84" s="92" t="s">
        <v>1070</v>
      </c>
      <c r="C84" s="93" t="s">
        <v>1071</v>
      </c>
      <c r="D84" s="94" t="s">
        <v>1066</v>
      </c>
      <c r="E84" s="94" t="s">
        <v>1072</v>
      </c>
      <c r="F84" s="90" t="s">
        <v>997</v>
      </c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1"/>
    </row>
    <row r="85" spans="1:26" ht="72" x14ac:dyDescent="0.25">
      <c r="A85" s="92" t="s">
        <v>792</v>
      </c>
      <c r="B85" s="92" t="s">
        <v>1073</v>
      </c>
      <c r="C85" s="93" t="s">
        <v>1074</v>
      </c>
      <c r="D85" s="94" t="s">
        <v>1066</v>
      </c>
      <c r="E85" s="94" t="s">
        <v>1075</v>
      </c>
      <c r="F85" s="90" t="s">
        <v>997</v>
      </c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1"/>
    </row>
    <row r="86" spans="1:26" ht="43.2" x14ac:dyDescent="0.25">
      <c r="A86" s="92" t="s">
        <v>792</v>
      </c>
      <c r="B86" s="92" t="s">
        <v>1076</v>
      </c>
      <c r="C86" s="93" t="s">
        <v>1077</v>
      </c>
      <c r="D86" s="94" t="s">
        <v>1078</v>
      </c>
      <c r="E86" s="94" t="s">
        <v>1078</v>
      </c>
      <c r="F86" s="90" t="s">
        <v>792</v>
      </c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1"/>
    </row>
    <row r="87" spans="1:26" ht="43.2" x14ac:dyDescent="0.25">
      <c r="A87" s="92" t="s">
        <v>792</v>
      </c>
      <c r="B87" s="92" t="s">
        <v>1079</v>
      </c>
      <c r="C87" s="93" t="s">
        <v>1080</v>
      </c>
      <c r="D87" s="94" t="s">
        <v>1078</v>
      </c>
      <c r="E87" s="94" t="s">
        <v>1081</v>
      </c>
      <c r="F87" s="90" t="s">
        <v>792</v>
      </c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1"/>
    </row>
    <row r="88" spans="1:26" ht="43.2" x14ac:dyDescent="0.25">
      <c r="A88" s="92" t="s">
        <v>792</v>
      </c>
      <c r="B88" s="92" t="s">
        <v>1082</v>
      </c>
      <c r="C88" s="93" t="s">
        <v>1083</v>
      </c>
      <c r="D88" s="94" t="s">
        <v>1078</v>
      </c>
      <c r="E88" s="94" t="s">
        <v>1084</v>
      </c>
      <c r="F88" s="90" t="s">
        <v>792</v>
      </c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1"/>
    </row>
    <row r="89" spans="1:26" ht="43.2" x14ac:dyDescent="0.25">
      <c r="A89" s="92" t="s">
        <v>792</v>
      </c>
      <c r="B89" s="92" t="s">
        <v>1085</v>
      </c>
      <c r="C89" s="93" t="s">
        <v>1086</v>
      </c>
      <c r="D89" s="94" t="s">
        <v>1078</v>
      </c>
      <c r="E89" s="94" t="s">
        <v>1087</v>
      </c>
      <c r="F89" s="90" t="s">
        <v>792</v>
      </c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1"/>
    </row>
    <row r="90" spans="1:26" ht="28.8" x14ac:dyDescent="0.25">
      <c r="A90" s="92" t="s">
        <v>792</v>
      </c>
      <c r="B90" s="92" t="s">
        <v>1088</v>
      </c>
      <c r="C90" s="93" t="s">
        <v>1089</v>
      </c>
      <c r="D90" s="94" t="s">
        <v>1090</v>
      </c>
      <c r="E90" s="94" t="s">
        <v>1090</v>
      </c>
      <c r="F90" s="90" t="s">
        <v>1091</v>
      </c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1"/>
    </row>
    <row r="91" spans="1:26" ht="28.8" x14ac:dyDescent="0.25">
      <c r="A91" s="92" t="s">
        <v>792</v>
      </c>
      <c r="B91" s="92" t="s">
        <v>1092</v>
      </c>
      <c r="C91" s="93" t="s">
        <v>1093</v>
      </c>
      <c r="D91" s="94" t="s">
        <v>1090</v>
      </c>
      <c r="E91" s="94" t="s">
        <v>1094</v>
      </c>
      <c r="F91" s="90" t="s">
        <v>1091</v>
      </c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1"/>
    </row>
    <row r="92" spans="1:26" ht="28.8" x14ac:dyDescent="0.25">
      <c r="A92" s="92" t="s">
        <v>792</v>
      </c>
      <c r="B92" s="92" t="s">
        <v>1095</v>
      </c>
      <c r="C92" s="93" t="s">
        <v>1096</v>
      </c>
      <c r="D92" s="94" t="s">
        <v>1097</v>
      </c>
      <c r="E92" s="94" t="s">
        <v>1097</v>
      </c>
      <c r="F92" s="90" t="s">
        <v>862</v>
      </c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1"/>
    </row>
    <row r="93" spans="1:26" ht="14.4" x14ac:dyDescent="0.25">
      <c r="A93" s="92" t="s">
        <v>792</v>
      </c>
      <c r="B93" s="92" t="s">
        <v>1098</v>
      </c>
      <c r="C93" s="93" t="s">
        <v>1099</v>
      </c>
      <c r="D93" s="94" t="s">
        <v>1100</v>
      </c>
      <c r="E93" s="94" t="s">
        <v>1100</v>
      </c>
      <c r="F93" s="90" t="s">
        <v>1101</v>
      </c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1"/>
    </row>
    <row r="94" spans="1:26" ht="28.8" x14ac:dyDescent="0.25">
      <c r="A94" s="92" t="s">
        <v>792</v>
      </c>
      <c r="B94" s="92" t="s">
        <v>1102</v>
      </c>
      <c r="C94" s="93" t="s">
        <v>1103</v>
      </c>
      <c r="D94" s="94" t="s">
        <v>1104</v>
      </c>
      <c r="E94" s="94" t="s">
        <v>1105</v>
      </c>
      <c r="F94" s="90" t="s">
        <v>806</v>
      </c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1"/>
    </row>
    <row r="95" spans="1:26" ht="28.8" x14ac:dyDescent="0.25">
      <c r="A95" s="92" t="s">
        <v>792</v>
      </c>
      <c r="B95" s="92" t="s">
        <v>1106</v>
      </c>
      <c r="C95" s="93" t="s">
        <v>1107</v>
      </c>
      <c r="D95" s="94" t="s">
        <v>1108</v>
      </c>
      <c r="E95" s="94" t="s">
        <v>1108</v>
      </c>
      <c r="F95" s="90" t="s">
        <v>806</v>
      </c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1"/>
    </row>
    <row r="96" spans="1:26" ht="100.8" x14ac:dyDescent="0.25">
      <c r="A96" s="92" t="s">
        <v>792</v>
      </c>
      <c r="B96" s="92" t="s">
        <v>1109</v>
      </c>
      <c r="C96" s="93" t="s">
        <v>1110</v>
      </c>
      <c r="D96" s="94" t="s">
        <v>1111</v>
      </c>
      <c r="E96" s="94" t="s">
        <v>1111</v>
      </c>
      <c r="F96" s="90" t="s">
        <v>806</v>
      </c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1"/>
    </row>
    <row r="97" spans="1:26" ht="57.6" x14ac:dyDescent="0.25">
      <c r="A97" s="92" t="s">
        <v>792</v>
      </c>
      <c r="B97" s="92" t="s">
        <v>1112</v>
      </c>
      <c r="C97" s="93" t="s">
        <v>1113</v>
      </c>
      <c r="D97" s="94" t="s">
        <v>1114</v>
      </c>
      <c r="E97" s="94" t="s">
        <v>1115</v>
      </c>
      <c r="F97" s="90" t="s">
        <v>806</v>
      </c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1"/>
    </row>
    <row r="98" spans="1:26" ht="28.8" x14ac:dyDescent="0.25">
      <c r="A98" s="92" t="s">
        <v>792</v>
      </c>
      <c r="B98" s="92" t="s">
        <v>1116</v>
      </c>
      <c r="C98" s="93" t="s">
        <v>1117</v>
      </c>
      <c r="D98" s="94" t="s">
        <v>1118</v>
      </c>
      <c r="E98" s="94" t="s">
        <v>1119</v>
      </c>
      <c r="F98" s="90" t="s">
        <v>792</v>
      </c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1"/>
    </row>
    <row r="99" spans="1:26" ht="28.8" x14ac:dyDescent="0.25">
      <c r="A99" s="92" t="s">
        <v>792</v>
      </c>
      <c r="B99" s="92" t="s">
        <v>1120</v>
      </c>
      <c r="C99" s="93" t="s">
        <v>1121</v>
      </c>
      <c r="D99" s="94" t="s">
        <v>1118</v>
      </c>
      <c r="E99" s="94" t="s">
        <v>1122</v>
      </c>
      <c r="F99" s="90" t="s">
        <v>850</v>
      </c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1"/>
    </row>
    <row r="100" spans="1:26" ht="28.8" x14ac:dyDescent="0.25">
      <c r="A100" s="92" t="s">
        <v>792</v>
      </c>
      <c r="B100" s="92" t="s">
        <v>1123</v>
      </c>
      <c r="C100" s="93" t="s">
        <v>1124</v>
      </c>
      <c r="D100" s="94" t="s">
        <v>1125</v>
      </c>
      <c r="E100" s="94" t="s">
        <v>1125</v>
      </c>
      <c r="F100" s="90" t="s">
        <v>800</v>
      </c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1"/>
    </row>
    <row r="101" spans="1:26" ht="14.4" x14ac:dyDescent="0.25">
      <c r="A101" s="92" t="s">
        <v>792</v>
      </c>
      <c r="B101" s="92" t="s">
        <v>1126</v>
      </c>
      <c r="C101" s="93" t="s">
        <v>54</v>
      </c>
      <c r="D101" s="94" t="s">
        <v>1127</v>
      </c>
      <c r="E101" s="94" t="s">
        <v>1127</v>
      </c>
      <c r="F101" s="90" t="s">
        <v>806</v>
      </c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1"/>
    </row>
    <row r="102" spans="1:26" ht="14.4" x14ac:dyDescent="0.25">
      <c r="A102" s="92" t="s">
        <v>792</v>
      </c>
      <c r="B102" s="92" t="s">
        <v>1128</v>
      </c>
      <c r="C102" s="93" t="s">
        <v>1129</v>
      </c>
      <c r="D102" s="94" t="s">
        <v>1127</v>
      </c>
      <c r="E102" s="94" t="s">
        <v>1130</v>
      </c>
      <c r="F102" s="90" t="s">
        <v>806</v>
      </c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1"/>
    </row>
    <row r="103" spans="1:26" ht="14.4" x14ac:dyDescent="0.25">
      <c r="A103" s="92" t="s">
        <v>792</v>
      </c>
      <c r="B103" s="92" t="s">
        <v>1131</v>
      </c>
      <c r="C103" s="93" t="s">
        <v>1132</v>
      </c>
      <c r="D103" s="94" t="s">
        <v>1133</v>
      </c>
      <c r="E103" s="94" t="s">
        <v>1133</v>
      </c>
      <c r="F103" s="90" t="s">
        <v>1134</v>
      </c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1"/>
    </row>
    <row r="104" spans="1:26" ht="28.8" x14ac:dyDescent="0.25">
      <c r="A104" s="92" t="s">
        <v>792</v>
      </c>
      <c r="B104" s="92" t="s">
        <v>1135</v>
      </c>
      <c r="C104" s="93" t="s">
        <v>1136</v>
      </c>
      <c r="D104" s="94" t="s">
        <v>1137</v>
      </c>
      <c r="E104" s="94" t="s">
        <v>1137</v>
      </c>
      <c r="F104" s="90" t="s">
        <v>806</v>
      </c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1"/>
    </row>
    <row r="105" spans="1:26" ht="28.8" x14ac:dyDescent="0.25">
      <c r="A105" s="92" t="s">
        <v>792</v>
      </c>
      <c r="B105" s="92" t="s">
        <v>1138</v>
      </c>
      <c r="C105" s="93" t="s">
        <v>1139</v>
      </c>
      <c r="D105" s="94" t="s">
        <v>1140</v>
      </c>
      <c r="E105" s="94" t="s">
        <v>1140</v>
      </c>
      <c r="F105" s="90" t="s">
        <v>1008</v>
      </c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1"/>
    </row>
    <row r="106" spans="1:26" ht="28.8" x14ac:dyDescent="0.25">
      <c r="A106" s="92" t="s">
        <v>792</v>
      </c>
      <c r="B106" s="92" t="s">
        <v>1141</v>
      </c>
      <c r="C106" s="93" t="s">
        <v>1142</v>
      </c>
      <c r="D106" s="94" t="s">
        <v>1140</v>
      </c>
      <c r="E106" s="94" t="s">
        <v>1143</v>
      </c>
      <c r="F106" s="90" t="s">
        <v>1008</v>
      </c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1"/>
    </row>
    <row r="107" spans="1:26" ht="28.8" x14ac:dyDescent="0.3">
      <c r="A107" s="95" t="s">
        <v>792</v>
      </c>
      <c r="B107" s="95" t="s">
        <v>1144</v>
      </c>
      <c r="C107" s="95" t="s">
        <v>1145</v>
      </c>
      <c r="D107" s="94" t="s">
        <v>1146</v>
      </c>
      <c r="E107" s="94" t="s">
        <v>1146</v>
      </c>
      <c r="F107" s="90" t="s">
        <v>1147</v>
      </c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1"/>
    </row>
    <row r="108" spans="1:26" ht="28.8" x14ac:dyDescent="0.25">
      <c r="A108" s="92" t="s">
        <v>792</v>
      </c>
      <c r="B108" s="92" t="s">
        <v>1148</v>
      </c>
      <c r="C108" s="93" t="s">
        <v>1149</v>
      </c>
      <c r="D108" s="94" t="s">
        <v>1146</v>
      </c>
      <c r="E108" s="94" t="s">
        <v>1150</v>
      </c>
      <c r="F108" s="90" t="s">
        <v>1147</v>
      </c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1"/>
    </row>
    <row r="109" spans="1:26" ht="28.8" x14ac:dyDescent="0.25">
      <c r="A109" s="92" t="s">
        <v>792</v>
      </c>
      <c r="B109" s="92" t="s">
        <v>1151</v>
      </c>
      <c r="C109" s="93" t="s">
        <v>1152</v>
      </c>
      <c r="D109" s="94" t="s">
        <v>1153</v>
      </c>
      <c r="E109" s="94" t="s">
        <v>1154</v>
      </c>
      <c r="F109" s="90" t="s">
        <v>924</v>
      </c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1"/>
    </row>
    <row r="110" spans="1:26" ht="28.8" x14ac:dyDescent="0.25">
      <c r="A110" s="92" t="s">
        <v>792</v>
      </c>
      <c r="B110" s="92" t="s">
        <v>1155</v>
      </c>
      <c r="C110" s="93" t="s">
        <v>1156</v>
      </c>
      <c r="D110" s="94" t="s">
        <v>1153</v>
      </c>
      <c r="E110" s="94" t="s">
        <v>1157</v>
      </c>
      <c r="F110" s="90" t="s">
        <v>869</v>
      </c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1"/>
    </row>
    <row r="111" spans="1:26" ht="28.8" x14ac:dyDescent="0.25">
      <c r="A111" s="92" t="s">
        <v>792</v>
      </c>
      <c r="B111" s="92" t="s">
        <v>1158</v>
      </c>
      <c r="C111" s="93" t="s">
        <v>1159</v>
      </c>
      <c r="D111" s="94" t="s">
        <v>1153</v>
      </c>
      <c r="E111" s="94" t="s">
        <v>1160</v>
      </c>
      <c r="F111" s="90" t="s">
        <v>800</v>
      </c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1"/>
    </row>
    <row r="112" spans="1:26" ht="28.8" x14ac:dyDescent="0.25">
      <c r="A112" s="92" t="s">
        <v>792</v>
      </c>
      <c r="B112" s="92" t="s">
        <v>1161</v>
      </c>
      <c r="C112" s="93" t="s">
        <v>1162</v>
      </c>
      <c r="D112" s="94" t="s">
        <v>1163</v>
      </c>
      <c r="E112" s="94" t="s">
        <v>1164</v>
      </c>
      <c r="F112" s="90" t="s">
        <v>906</v>
      </c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1"/>
    </row>
    <row r="113" spans="1:26" ht="28.8" x14ac:dyDescent="0.25">
      <c r="A113" s="92" t="s">
        <v>792</v>
      </c>
      <c r="B113" s="92" t="s">
        <v>1165</v>
      </c>
      <c r="C113" s="93" t="s">
        <v>1166</v>
      </c>
      <c r="D113" s="94" t="s">
        <v>1163</v>
      </c>
      <c r="E113" s="94" t="s">
        <v>1167</v>
      </c>
      <c r="F113" s="90" t="s">
        <v>972</v>
      </c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1"/>
    </row>
    <row r="114" spans="1:26" ht="28.8" x14ac:dyDescent="0.25">
      <c r="A114" s="92" t="s">
        <v>792</v>
      </c>
      <c r="B114" s="92" t="s">
        <v>1168</v>
      </c>
      <c r="C114" s="93" t="s">
        <v>1169</v>
      </c>
      <c r="D114" s="94" t="s">
        <v>1163</v>
      </c>
      <c r="E114" s="94" t="s">
        <v>1170</v>
      </c>
      <c r="F114" s="90" t="s">
        <v>1171</v>
      </c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1"/>
    </row>
    <row r="115" spans="1:26" ht="28.8" x14ac:dyDescent="0.25">
      <c r="A115" s="92" t="s">
        <v>792</v>
      </c>
      <c r="B115" s="92" t="s">
        <v>1172</v>
      </c>
      <c r="C115" s="93" t="s">
        <v>1173</v>
      </c>
      <c r="D115" s="94" t="s">
        <v>1163</v>
      </c>
      <c r="E115" s="94" t="s">
        <v>1174</v>
      </c>
      <c r="F115" s="90" t="s">
        <v>936</v>
      </c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1"/>
    </row>
    <row r="116" spans="1:26" ht="28.8" x14ac:dyDescent="0.25">
      <c r="A116" s="92" t="s">
        <v>792</v>
      </c>
      <c r="B116" s="92" t="s">
        <v>1175</v>
      </c>
      <c r="C116" s="93" t="s">
        <v>1176</v>
      </c>
      <c r="D116" s="94" t="s">
        <v>1163</v>
      </c>
      <c r="E116" s="94" t="s">
        <v>1177</v>
      </c>
      <c r="F116" s="90" t="s">
        <v>1091</v>
      </c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1"/>
    </row>
    <row r="117" spans="1:26" ht="28.8" x14ac:dyDescent="0.25">
      <c r="A117" s="92" t="s">
        <v>792</v>
      </c>
      <c r="B117" s="92" t="s">
        <v>1178</v>
      </c>
      <c r="C117" s="93" t="s">
        <v>1179</v>
      </c>
      <c r="D117" s="94" t="s">
        <v>1163</v>
      </c>
      <c r="E117" s="94" t="s">
        <v>1180</v>
      </c>
      <c r="F117" s="90" t="s">
        <v>1181</v>
      </c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1"/>
    </row>
    <row r="118" spans="1:26" ht="28.8" x14ac:dyDescent="0.25">
      <c r="A118" s="92" t="s">
        <v>792</v>
      </c>
      <c r="B118" s="92" t="s">
        <v>1182</v>
      </c>
      <c r="C118" s="93" t="s">
        <v>1183</v>
      </c>
      <c r="D118" s="94" t="s">
        <v>1163</v>
      </c>
      <c r="E118" s="94" t="s">
        <v>1184</v>
      </c>
      <c r="F118" s="90" t="s">
        <v>806</v>
      </c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1"/>
    </row>
    <row r="119" spans="1:26" ht="28.8" x14ac:dyDescent="0.25">
      <c r="A119" s="92" t="s">
        <v>792</v>
      </c>
      <c r="B119" s="92" t="s">
        <v>1185</v>
      </c>
      <c r="C119" s="93" t="s">
        <v>1186</v>
      </c>
      <c r="D119" s="94" t="s">
        <v>1163</v>
      </c>
      <c r="E119" s="94" t="s">
        <v>1187</v>
      </c>
      <c r="F119" s="90" t="s">
        <v>800</v>
      </c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1"/>
    </row>
    <row r="120" spans="1:26" ht="14.4" x14ac:dyDescent="0.25">
      <c r="A120" s="92" t="s">
        <v>792</v>
      </c>
      <c r="B120" s="92" t="s">
        <v>1188</v>
      </c>
      <c r="C120" s="93" t="s">
        <v>8</v>
      </c>
      <c r="D120" s="94" t="s">
        <v>1189</v>
      </c>
      <c r="E120" s="94" t="s">
        <v>1189</v>
      </c>
      <c r="F120" s="90" t="s">
        <v>792</v>
      </c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1"/>
    </row>
    <row r="121" spans="1:26" ht="28.8" x14ac:dyDescent="0.25">
      <c r="A121" s="92" t="s">
        <v>792</v>
      </c>
      <c r="B121" s="92" t="s">
        <v>1190</v>
      </c>
      <c r="C121" s="93" t="s">
        <v>1191</v>
      </c>
      <c r="D121" s="94" t="s">
        <v>1189</v>
      </c>
      <c r="E121" s="94" t="s">
        <v>1192</v>
      </c>
      <c r="F121" s="90" t="s">
        <v>792</v>
      </c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1"/>
    </row>
    <row r="122" spans="1:26" ht="28.8" x14ac:dyDescent="0.25">
      <c r="A122" s="92" t="s">
        <v>792</v>
      </c>
      <c r="B122" s="92" t="s">
        <v>1193</v>
      </c>
      <c r="C122" s="93" t="s">
        <v>1194</v>
      </c>
      <c r="D122" s="94" t="s">
        <v>1195</v>
      </c>
      <c r="E122" s="94" t="s">
        <v>1195</v>
      </c>
      <c r="F122" s="90" t="s">
        <v>1181</v>
      </c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1"/>
    </row>
    <row r="123" spans="1:26" ht="28.8" x14ac:dyDescent="0.25">
      <c r="A123" s="92" t="s">
        <v>792</v>
      </c>
      <c r="B123" s="92" t="s">
        <v>1196</v>
      </c>
      <c r="C123" s="93" t="s">
        <v>1197</v>
      </c>
      <c r="D123" s="94" t="s">
        <v>1195</v>
      </c>
      <c r="E123" s="94" t="s">
        <v>1198</v>
      </c>
      <c r="F123" s="90" t="s">
        <v>1199</v>
      </c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1"/>
    </row>
    <row r="124" spans="1:26" ht="28.8" x14ac:dyDescent="0.25">
      <c r="A124" s="92" t="s">
        <v>792</v>
      </c>
      <c r="B124" s="92" t="s">
        <v>1200</v>
      </c>
      <c r="C124" s="93" t="s">
        <v>1201</v>
      </c>
      <c r="D124" s="94" t="s">
        <v>1195</v>
      </c>
      <c r="E124" s="94" t="s">
        <v>1202</v>
      </c>
      <c r="F124" s="90" t="s">
        <v>1181</v>
      </c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1"/>
    </row>
    <row r="125" spans="1:26" ht="28.8" x14ac:dyDescent="0.25">
      <c r="A125" s="92" t="s">
        <v>792</v>
      </c>
      <c r="B125" s="92" t="s">
        <v>1203</v>
      </c>
      <c r="C125" s="93" t="s">
        <v>1204</v>
      </c>
      <c r="D125" s="94" t="s">
        <v>1205</v>
      </c>
      <c r="E125" s="94" t="s">
        <v>1206</v>
      </c>
      <c r="F125" s="90" t="s">
        <v>1207</v>
      </c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1"/>
    </row>
    <row r="126" spans="1:26" ht="14.4" x14ac:dyDescent="0.25">
      <c r="A126" s="92" t="s">
        <v>792</v>
      </c>
      <c r="B126" s="92" t="s">
        <v>1208</v>
      </c>
      <c r="C126" s="93" t="s">
        <v>1209</v>
      </c>
      <c r="D126" s="94" t="s">
        <v>1205</v>
      </c>
      <c r="E126" s="94" t="s">
        <v>1205</v>
      </c>
      <c r="F126" s="90" t="s">
        <v>1210</v>
      </c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1"/>
    </row>
    <row r="127" spans="1:26" ht="72" x14ac:dyDescent="0.25">
      <c r="A127" s="92" t="s">
        <v>792</v>
      </c>
      <c r="B127" s="92" t="s">
        <v>1211</v>
      </c>
      <c r="C127" s="93" t="s">
        <v>1212</v>
      </c>
      <c r="D127" s="94" t="s">
        <v>1213</v>
      </c>
      <c r="E127" s="94" t="s">
        <v>1214</v>
      </c>
      <c r="F127" s="90" t="s">
        <v>806</v>
      </c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1"/>
    </row>
    <row r="128" spans="1:26" ht="28.8" x14ac:dyDescent="0.25">
      <c r="A128" s="92" t="s">
        <v>792</v>
      </c>
      <c r="B128" s="92" t="s">
        <v>1215</v>
      </c>
      <c r="C128" s="93" t="s">
        <v>1216</v>
      </c>
      <c r="D128" s="94" t="s">
        <v>1217</v>
      </c>
      <c r="E128" s="94" t="s">
        <v>1217</v>
      </c>
      <c r="F128" s="90" t="s">
        <v>1171</v>
      </c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1"/>
    </row>
    <row r="129" spans="1:26" ht="28.8" x14ac:dyDescent="0.25">
      <c r="A129" s="92" t="s">
        <v>792</v>
      </c>
      <c r="B129" s="92" t="s">
        <v>1218</v>
      </c>
      <c r="C129" s="93" t="s">
        <v>1219</v>
      </c>
      <c r="D129" s="94" t="s">
        <v>1217</v>
      </c>
      <c r="E129" s="94" t="s">
        <v>1220</v>
      </c>
      <c r="F129" s="90" t="s">
        <v>1171</v>
      </c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1"/>
    </row>
    <row r="130" spans="1:26" ht="28.8" x14ac:dyDescent="0.25">
      <c r="A130" s="92" t="s">
        <v>792</v>
      </c>
      <c r="B130" s="92" t="s">
        <v>1221</v>
      </c>
      <c r="C130" s="93" t="s">
        <v>1222</v>
      </c>
      <c r="D130" s="94" t="s">
        <v>1217</v>
      </c>
      <c r="E130" s="94" t="s">
        <v>1223</v>
      </c>
      <c r="F130" s="90" t="s">
        <v>1171</v>
      </c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1"/>
    </row>
    <row r="131" spans="1:26" ht="28.8" x14ac:dyDescent="0.25">
      <c r="A131" s="92" t="s">
        <v>792</v>
      </c>
      <c r="B131" s="92" t="s">
        <v>1224</v>
      </c>
      <c r="C131" s="93" t="s">
        <v>1225</v>
      </c>
      <c r="D131" s="94" t="s">
        <v>1226</v>
      </c>
      <c r="E131" s="94" t="s">
        <v>1226</v>
      </c>
      <c r="F131" s="90" t="s">
        <v>936</v>
      </c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1"/>
    </row>
    <row r="132" spans="1:26" ht="28.8" x14ac:dyDescent="0.25">
      <c r="A132" s="92" t="s">
        <v>792</v>
      </c>
      <c r="B132" s="92" t="s">
        <v>1227</v>
      </c>
      <c r="C132" s="93" t="s">
        <v>1228</v>
      </c>
      <c r="D132" s="94" t="s">
        <v>1229</v>
      </c>
      <c r="E132" s="94" t="s">
        <v>1229</v>
      </c>
      <c r="F132" s="90" t="s">
        <v>1230</v>
      </c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1"/>
    </row>
    <row r="133" spans="1:26" ht="14.4" x14ac:dyDescent="0.25">
      <c r="A133" s="92" t="s">
        <v>792</v>
      </c>
      <c r="B133" s="92" t="s">
        <v>1231</v>
      </c>
      <c r="C133" s="93" t="s">
        <v>1232</v>
      </c>
      <c r="D133" s="94" t="s">
        <v>1233</v>
      </c>
      <c r="E133" s="94" t="s">
        <v>1233</v>
      </c>
      <c r="F133" s="90" t="s">
        <v>943</v>
      </c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1"/>
    </row>
    <row r="134" spans="1:26" ht="43.2" x14ac:dyDescent="0.25">
      <c r="A134" s="92" t="s">
        <v>792</v>
      </c>
      <c r="B134" s="92" t="s">
        <v>1234</v>
      </c>
      <c r="C134" s="93" t="s">
        <v>1235</v>
      </c>
      <c r="D134" s="94" t="s">
        <v>1236</v>
      </c>
      <c r="E134" s="94" t="s">
        <v>1236</v>
      </c>
      <c r="F134" s="90" t="s">
        <v>936</v>
      </c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1"/>
    </row>
    <row r="135" spans="1:26" ht="43.2" x14ac:dyDescent="0.25">
      <c r="A135" s="92" t="s">
        <v>792</v>
      </c>
      <c r="B135" s="92" t="s">
        <v>1237</v>
      </c>
      <c r="C135" s="93" t="s">
        <v>1238</v>
      </c>
      <c r="D135" s="94" t="s">
        <v>1239</v>
      </c>
      <c r="E135" s="94" t="s">
        <v>1239</v>
      </c>
      <c r="F135" s="90" t="s">
        <v>806</v>
      </c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1"/>
    </row>
    <row r="136" spans="1:26" ht="28.8" x14ac:dyDescent="0.25">
      <c r="A136" s="92" t="s">
        <v>792</v>
      </c>
      <c r="B136" s="92" t="s">
        <v>1240</v>
      </c>
      <c r="C136" s="93" t="s">
        <v>1241</v>
      </c>
      <c r="D136" s="94" t="s">
        <v>1242</v>
      </c>
      <c r="E136" s="94" t="s">
        <v>1242</v>
      </c>
      <c r="F136" s="90" t="s">
        <v>1243</v>
      </c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1"/>
    </row>
    <row r="137" spans="1:26" ht="28.8" x14ac:dyDescent="0.25">
      <c r="A137" s="92" t="s">
        <v>792</v>
      </c>
      <c r="B137" s="92" t="s">
        <v>1244</v>
      </c>
      <c r="C137" s="93" t="s">
        <v>1245</v>
      </c>
      <c r="D137" s="94" t="s">
        <v>1246</v>
      </c>
      <c r="E137" s="94" t="s">
        <v>1246</v>
      </c>
      <c r="F137" s="90" t="s">
        <v>850</v>
      </c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1"/>
    </row>
    <row r="138" spans="1:26" ht="28.8" x14ac:dyDescent="0.25">
      <c r="A138" s="92" t="s">
        <v>792</v>
      </c>
      <c r="B138" s="92" t="s">
        <v>1247</v>
      </c>
      <c r="C138" s="93" t="s">
        <v>450</v>
      </c>
      <c r="D138" s="94" t="s">
        <v>1248</v>
      </c>
      <c r="E138" s="94" t="s">
        <v>1248</v>
      </c>
      <c r="F138" s="90" t="s">
        <v>850</v>
      </c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1"/>
    </row>
    <row r="139" spans="1:26" ht="43.2" x14ac:dyDescent="0.25">
      <c r="A139" s="92" t="s">
        <v>792</v>
      </c>
      <c r="B139" s="92" t="s">
        <v>1249</v>
      </c>
      <c r="C139" s="93" t="s">
        <v>1250</v>
      </c>
      <c r="D139" s="94" t="s">
        <v>1251</v>
      </c>
      <c r="E139" s="94" t="s">
        <v>1251</v>
      </c>
      <c r="F139" s="90" t="s">
        <v>895</v>
      </c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1"/>
    </row>
    <row r="140" spans="1:26" ht="28.8" x14ac:dyDescent="0.25">
      <c r="A140" s="92" t="s">
        <v>792</v>
      </c>
      <c r="B140" s="92" t="s">
        <v>1252</v>
      </c>
      <c r="C140" s="93" t="s">
        <v>327</v>
      </c>
      <c r="D140" s="94" t="s">
        <v>1253</v>
      </c>
      <c r="E140" s="94" t="s">
        <v>1253</v>
      </c>
      <c r="F140" s="90" t="s">
        <v>1254</v>
      </c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1"/>
    </row>
    <row r="141" spans="1:26" ht="28.8" x14ac:dyDescent="0.25">
      <c r="A141" s="92" t="s">
        <v>792</v>
      </c>
      <c r="B141" s="92" t="s">
        <v>1255</v>
      </c>
      <c r="C141" s="93" t="s">
        <v>1256</v>
      </c>
      <c r="D141" s="94" t="s">
        <v>1257</v>
      </c>
      <c r="E141" s="94" t="s">
        <v>1258</v>
      </c>
      <c r="F141" s="90" t="s">
        <v>806</v>
      </c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1"/>
    </row>
    <row r="142" spans="1:26" ht="28.8" x14ac:dyDescent="0.25">
      <c r="A142" s="92" t="s">
        <v>792</v>
      </c>
      <c r="B142" s="92" t="s">
        <v>1259</v>
      </c>
      <c r="C142" s="93" t="s">
        <v>1256</v>
      </c>
      <c r="D142" s="94" t="s">
        <v>1257</v>
      </c>
      <c r="E142" s="94" t="s">
        <v>1258</v>
      </c>
      <c r="F142" s="90" t="s">
        <v>806</v>
      </c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1"/>
    </row>
    <row r="143" spans="1:26" ht="14.4" x14ac:dyDescent="0.25">
      <c r="A143" s="92" t="s">
        <v>792</v>
      </c>
      <c r="B143" s="92" t="s">
        <v>1260</v>
      </c>
      <c r="C143" s="93" t="s">
        <v>1261</v>
      </c>
      <c r="D143" s="94" t="s">
        <v>1262</v>
      </c>
      <c r="E143" s="94" t="s">
        <v>1262</v>
      </c>
      <c r="F143" s="90" t="s">
        <v>800</v>
      </c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1"/>
    </row>
    <row r="144" spans="1:26" ht="43.2" x14ac:dyDescent="0.25">
      <c r="A144" s="92" t="s">
        <v>792</v>
      </c>
      <c r="B144" s="92" t="s">
        <v>1263</v>
      </c>
      <c r="C144" s="93" t="s">
        <v>1264</v>
      </c>
      <c r="D144" s="94" t="s">
        <v>1265</v>
      </c>
      <c r="E144" s="94" t="s">
        <v>1265</v>
      </c>
      <c r="F144" s="90" t="s">
        <v>792</v>
      </c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1"/>
    </row>
    <row r="145" spans="1:26" ht="28.8" x14ac:dyDescent="0.25">
      <c r="A145" s="92" t="s">
        <v>792</v>
      </c>
      <c r="B145" s="92" t="s">
        <v>1266</v>
      </c>
      <c r="C145" s="93" t="s">
        <v>1267</v>
      </c>
      <c r="D145" s="94" t="s">
        <v>1268</v>
      </c>
      <c r="E145" s="94" t="s">
        <v>1268</v>
      </c>
      <c r="F145" s="90" t="s">
        <v>1269</v>
      </c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1"/>
    </row>
    <row r="146" spans="1:26" ht="28.8" x14ac:dyDescent="0.25">
      <c r="A146" s="92" t="s">
        <v>792</v>
      </c>
      <c r="B146" s="92" t="s">
        <v>1270</v>
      </c>
      <c r="C146" s="93" t="s">
        <v>1271</v>
      </c>
      <c r="D146" s="94" t="s">
        <v>1272</v>
      </c>
      <c r="E146" s="94" t="s">
        <v>1272</v>
      </c>
      <c r="F146" s="90" t="s">
        <v>1273</v>
      </c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1"/>
    </row>
    <row r="147" spans="1:26" ht="28.8" x14ac:dyDescent="0.25">
      <c r="A147" s="92" t="s">
        <v>792</v>
      </c>
      <c r="B147" s="92" t="s">
        <v>1274</v>
      </c>
      <c r="C147" s="93" t="s">
        <v>1275</v>
      </c>
      <c r="D147" s="94" t="s">
        <v>1276</v>
      </c>
      <c r="E147" s="94" t="s">
        <v>1276</v>
      </c>
      <c r="F147" s="90" t="s">
        <v>1277</v>
      </c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1"/>
    </row>
    <row r="148" spans="1:26" ht="28.8" x14ac:dyDescent="0.25">
      <c r="A148" s="92" t="s">
        <v>792</v>
      </c>
      <c r="B148" s="92" t="s">
        <v>1278</v>
      </c>
      <c r="C148" s="93" t="s">
        <v>1279</v>
      </c>
      <c r="D148" s="94" t="s">
        <v>1280</v>
      </c>
      <c r="E148" s="94" t="s">
        <v>1280</v>
      </c>
      <c r="F148" s="90" t="s">
        <v>1281</v>
      </c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1"/>
    </row>
    <row r="149" spans="1:26" ht="28.8" x14ac:dyDescent="0.25">
      <c r="A149" s="92" t="s">
        <v>792</v>
      </c>
      <c r="B149" s="92" t="s">
        <v>1282</v>
      </c>
      <c r="C149" s="93" t="s">
        <v>1283</v>
      </c>
      <c r="D149" s="94" t="s">
        <v>1284</v>
      </c>
      <c r="E149" s="94" t="s">
        <v>1284</v>
      </c>
      <c r="F149" s="90" t="s">
        <v>1285</v>
      </c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1"/>
    </row>
    <row r="150" spans="1:26" ht="28.8" x14ac:dyDescent="0.25">
      <c r="A150" s="92" t="s">
        <v>792</v>
      </c>
      <c r="B150" s="92" t="s">
        <v>1286</v>
      </c>
      <c r="C150" s="93" t="s">
        <v>1287</v>
      </c>
      <c r="D150" s="94" t="s">
        <v>1288</v>
      </c>
      <c r="E150" s="94" t="s">
        <v>1288</v>
      </c>
      <c r="F150" s="90" t="s">
        <v>1289</v>
      </c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1"/>
    </row>
    <row r="151" spans="1:26" ht="14.4" x14ac:dyDescent="0.25">
      <c r="A151" s="92" t="s">
        <v>792</v>
      </c>
      <c r="B151" s="92" t="s">
        <v>1290</v>
      </c>
      <c r="C151" s="93" t="s">
        <v>1291</v>
      </c>
      <c r="D151" s="94" t="s">
        <v>1292</v>
      </c>
      <c r="E151" s="94" t="s">
        <v>790</v>
      </c>
      <c r="F151" s="90" t="s">
        <v>869</v>
      </c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1"/>
    </row>
    <row r="152" spans="1:26" ht="28.8" x14ac:dyDescent="0.25">
      <c r="A152" s="92" t="s">
        <v>792</v>
      </c>
      <c r="B152" s="92" t="s">
        <v>1293</v>
      </c>
      <c r="C152" s="93" t="s">
        <v>1294</v>
      </c>
      <c r="D152" s="94" t="s">
        <v>1292</v>
      </c>
      <c r="E152" s="94" t="s">
        <v>1295</v>
      </c>
      <c r="F152" s="90" t="s">
        <v>950</v>
      </c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1"/>
    </row>
    <row r="153" spans="1:26" ht="28.8" x14ac:dyDescent="0.25">
      <c r="A153" s="92" t="s">
        <v>792</v>
      </c>
      <c r="B153" s="92" t="s">
        <v>1296</v>
      </c>
      <c r="C153" s="93" t="s">
        <v>1297</v>
      </c>
      <c r="D153" s="94" t="s">
        <v>1298</v>
      </c>
      <c r="E153" s="94" t="s">
        <v>1298</v>
      </c>
      <c r="F153" s="90" t="s">
        <v>1299</v>
      </c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1"/>
    </row>
    <row r="154" spans="1:26" ht="57.6" x14ac:dyDescent="0.25">
      <c r="A154" s="92" t="s">
        <v>792</v>
      </c>
      <c r="B154" s="92" t="s">
        <v>1300</v>
      </c>
      <c r="C154" s="93" t="s">
        <v>1301</v>
      </c>
      <c r="D154" s="94" t="s">
        <v>1302</v>
      </c>
      <c r="E154" s="94" t="s">
        <v>1302</v>
      </c>
      <c r="F154" s="90" t="s">
        <v>850</v>
      </c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1"/>
    </row>
    <row r="155" spans="1:26" ht="57.6" x14ac:dyDescent="0.25">
      <c r="A155" s="92" t="s">
        <v>792</v>
      </c>
      <c r="B155" s="92" t="s">
        <v>1303</v>
      </c>
      <c r="C155" s="93" t="s">
        <v>1304</v>
      </c>
      <c r="D155" s="94" t="s">
        <v>1302</v>
      </c>
      <c r="E155" s="94" t="s">
        <v>1305</v>
      </c>
      <c r="F155" s="90" t="s">
        <v>850</v>
      </c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1"/>
    </row>
    <row r="156" spans="1:26" ht="28.8" x14ac:dyDescent="0.25">
      <c r="A156" s="92" t="s">
        <v>792</v>
      </c>
      <c r="B156" s="92" t="s">
        <v>1306</v>
      </c>
      <c r="C156" s="93" t="s">
        <v>1307</v>
      </c>
      <c r="D156" s="94" t="s">
        <v>1308</v>
      </c>
      <c r="E156" s="94" t="s">
        <v>1308</v>
      </c>
      <c r="F156" s="90" t="s">
        <v>850</v>
      </c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1"/>
    </row>
    <row r="157" spans="1:26" ht="28.8" x14ac:dyDescent="0.25">
      <c r="A157" s="92" t="s">
        <v>792</v>
      </c>
      <c r="B157" s="92" t="s">
        <v>1309</v>
      </c>
      <c r="C157" s="93" t="s">
        <v>1310</v>
      </c>
      <c r="D157" s="94" t="s">
        <v>1308</v>
      </c>
      <c r="E157" s="94" t="s">
        <v>1311</v>
      </c>
      <c r="F157" s="90" t="s">
        <v>850</v>
      </c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1"/>
    </row>
    <row r="158" spans="1:26" ht="28.8" x14ac:dyDescent="0.25">
      <c r="A158" s="92" t="s">
        <v>792</v>
      </c>
      <c r="B158" s="92" t="s">
        <v>1312</v>
      </c>
      <c r="C158" s="93" t="s">
        <v>463</v>
      </c>
      <c r="D158" s="94" t="s">
        <v>1308</v>
      </c>
      <c r="E158" s="94" t="s">
        <v>1313</v>
      </c>
      <c r="F158" s="90" t="s">
        <v>850</v>
      </c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1"/>
    </row>
    <row r="159" spans="1:26" ht="28.8" x14ac:dyDescent="0.25">
      <c r="A159" s="92" t="s">
        <v>792</v>
      </c>
      <c r="B159" s="92" t="s">
        <v>1314</v>
      </c>
      <c r="C159" s="93" t="s">
        <v>20</v>
      </c>
      <c r="D159" s="94" t="s">
        <v>1315</v>
      </c>
      <c r="E159" s="94" t="s">
        <v>1315</v>
      </c>
      <c r="F159" s="90" t="s">
        <v>847</v>
      </c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1"/>
    </row>
    <row r="160" spans="1:26" ht="28.8" x14ac:dyDescent="0.25">
      <c r="A160" s="92" t="s">
        <v>792</v>
      </c>
      <c r="B160" s="92" t="s">
        <v>1316</v>
      </c>
      <c r="C160" s="93" t="s">
        <v>1317</v>
      </c>
      <c r="D160" s="94" t="s">
        <v>1315</v>
      </c>
      <c r="E160" s="94" t="s">
        <v>1318</v>
      </c>
      <c r="F160" s="90" t="s">
        <v>847</v>
      </c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1"/>
    </row>
    <row r="161" spans="1:26" ht="14.4" x14ac:dyDescent="0.25">
      <c r="A161" s="92" t="s">
        <v>792</v>
      </c>
      <c r="B161" s="92" t="s">
        <v>1319</v>
      </c>
      <c r="C161" s="93" t="s">
        <v>1320</v>
      </c>
      <c r="D161" s="94" t="s">
        <v>1321</v>
      </c>
      <c r="E161" s="94" t="s">
        <v>1321</v>
      </c>
      <c r="F161" s="90" t="s">
        <v>847</v>
      </c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1"/>
    </row>
    <row r="162" spans="1:26" ht="28.8" x14ac:dyDescent="0.25">
      <c r="A162" s="92" t="s">
        <v>792</v>
      </c>
      <c r="B162" s="92" t="s">
        <v>1322</v>
      </c>
      <c r="C162" s="93" t="s">
        <v>1323</v>
      </c>
      <c r="D162" s="94" t="s">
        <v>1321</v>
      </c>
      <c r="E162" s="94" t="s">
        <v>1324</v>
      </c>
      <c r="F162" s="90" t="s">
        <v>847</v>
      </c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1"/>
    </row>
    <row r="163" spans="1:26" ht="28.8" x14ac:dyDescent="0.25">
      <c r="A163" s="92" t="s">
        <v>792</v>
      </c>
      <c r="B163" s="92" t="s">
        <v>1325</v>
      </c>
      <c r="C163" s="93" t="s">
        <v>1326</v>
      </c>
      <c r="D163" s="94" t="s">
        <v>1321</v>
      </c>
      <c r="E163" s="94" t="s">
        <v>1327</v>
      </c>
      <c r="F163" s="90" t="s">
        <v>847</v>
      </c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1"/>
    </row>
    <row r="164" spans="1:26" ht="28.8" x14ac:dyDescent="0.25">
      <c r="A164" s="92" t="s">
        <v>792</v>
      </c>
      <c r="B164" s="92" t="s">
        <v>1328</v>
      </c>
      <c r="C164" s="93" t="s">
        <v>1329</v>
      </c>
      <c r="D164" s="94" t="s">
        <v>1330</v>
      </c>
      <c r="E164" s="94" t="s">
        <v>1331</v>
      </c>
      <c r="F164" s="90" t="s">
        <v>806</v>
      </c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1"/>
    </row>
    <row r="165" spans="1:26" ht="28.8" x14ac:dyDescent="0.25">
      <c r="A165" s="92" t="s">
        <v>792</v>
      </c>
      <c r="B165" s="92" t="s">
        <v>1332</v>
      </c>
      <c r="C165" s="93" t="s">
        <v>1333</v>
      </c>
      <c r="D165" s="94" t="s">
        <v>1330</v>
      </c>
      <c r="E165" s="94" t="s">
        <v>1334</v>
      </c>
      <c r="F165" s="90" t="s">
        <v>806</v>
      </c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1"/>
    </row>
    <row r="166" spans="1:26" ht="28.8" x14ac:dyDescent="0.25">
      <c r="A166" s="92" t="s">
        <v>792</v>
      </c>
      <c r="B166" s="92" t="s">
        <v>1335</v>
      </c>
      <c r="C166" s="93" t="s">
        <v>1336</v>
      </c>
      <c r="D166" s="94" t="s">
        <v>1330</v>
      </c>
      <c r="E166" s="94" t="s">
        <v>1337</v>
      </c>
      <c r="F166" s="90" t="s">
        <v>806</v>
      </c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1"/>
    </row>
    <row r="167" spans="1:26" ht="28.8" x14ac:dyDescent="0.25">
      <c r="A167" s="92" t="s">
        <v>792</v>
      </c>
      <c r="B167" s="92" t="s">
        <v>1338</v>
      </c>
      <c r="C167" s="93" t="s">
        <v>1339</v>
      </c>
      <c r="D167" s="94" t="s">
        <v>1330</v>
      </c>
      <c r="E167" s="94" t="s">
        <v>1340</v>
      </c>
      <c r="F167" s="90" t="s">
        <v>806</v>
      </c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1"/>
    </row>
    <row r="168" spans="1:26" ht="28.8" x14ac:dyDescent="0.25">
      <c r="A168" s="92" t="s">
        <v>792</v>
      </c>
      <c r="B168" s="92" t="s">
        <v>1341</v>
      </c>
      <c r="C168" s="93" t="s">
        <v>1342</v>
      </c>
      <c r="D168" s="94" t="s">
        <v>1330</v>
      </c>
      <c r="E168" s="94" t="s">
        <v>1343</v>
      </c>
      <c r="F168" s="90" t="s">
        <v>806</v>
      </c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1"/>
    </row>
    <row r="169" spans="1:26" ht="28.8" x14ac:dyDescent="0.25">
      <c r="A169" s="92" t="s">
        <v>792</v>
      </c>
      <c r="B169" s="92" t="s">
        <v>1344</v>
      </c>
      <c r="C169" s="93" t="s">
        <v>1345</v>
      </c>
      <c r="D169" s="94" t="s">
        <v>1330</v>
      </c>
      <c r="E169" s="94" t="s">
        <v>1346</v>
      </c>
      <c r="F169" s="90" t="s">
        <v>806</v>
      </c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1"/>
    </row>
    <row r="170" spans="1:26" ht="14.4" x14ac:dyDescent="0.25">
      <c r="A170" s="92" t="s">
        <v>792</v>
      </c>
      <c r="B170" s="92" t="s">
        <v>1347</v>
      </c>
      <c r="C170" s="93" t="s">
        <v>1348</v>
      </c>
      <c r="D170" s="94" t="s">
        <v>1330</v>
      </c>
      <c r="E170" s="94" t="s">
        <v>1349</v>
      </c>
      <c r="F170" s="90" t="s">
        <v>806</v>
      </c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1"/>
    </row>
    <row r="171" spans="1:26" ht="28.8" x14ac:dyDescent="0.25">
      <c r="A171" s="92" t="s">
        <v>792</v>
      </c>
      <c r="B171" s="92" t="s">
        <v>1350</v>
      </c>
      <c r="C171" s="93" t="s">
        <v>1351</v>
      </c>
      <c r="D171" s="94" t="s">
        <v>1330</v>
      </c>
      <c r="E171" s="94" t="s">
        <v>1352</v>
      </c>
      <c r="F171" s="90" t="s">
        <v>806</v>
      </c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1"/>
    </row>
    <row r="172" spans="1:26" ht="28.8" x14ac:dyDescent="0.25">
      <c r="A172" s="92" t="s">
        <v>792</v>
      </c>
      <c r="B172" s="92" t="s">
        <v>1353</v>
      </c>
      <c r="C172" s="93" t="s">
        <v>1354</v>
      </c>
      <c r="D172" s="94" t="s">
        <v>1355</v>
      </c>
      <c r="E172" s="94" t="s">
        <v>1356</v>
      </c>
      <c r="F172" s="90" t="s">
        <v>847</v>
      </c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1"/>
    </row>
    <row r="173" spans="1:26" ht="43.2" x14ac:dyDescent="0.25">
      <c r="A173" s="92" t="s">
        <v>792</v>
      </c>
      <c r="B173" s="92" t="s">
        <v>1357</v>
      </c>
      <c r="C173" s="93" t="s">
        <v>1358</v>
      </c>
      <c r="D173" s="94" t="s">
        <v>1355</v>
      </c>
      <c r="E173" s="94" t="s">
        <v>1359</v>
      </c>
      <c r="F173" s="90" t="s">
        <v>885</v>
      </c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1"/>
    </row>
    <row r="174" spans="1:26" ht="28.8" x14ac:dyDescent="0.25">
      <c r="A174" s="92" t="s">
        <v>792</v>
      </c>
      <c r="B174" s="92" t="s">
        <v>1360</v>
      </c>
      <c r="C174" s="93" t="s">
        <v>1361</v>
      </c>
      <c r="D174" s="94" t="s">
        <v>1355</v>
      </c>
      <c r="E174" s="94" t="s">
        <v>1362</v>
      </c>
      <c r="F174" s="90" t="s">
        <v>800</v>
      </c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1"/>
    </row>
    <row r="175" spans="1:26" ht="28.8" x14ac:dyDescent="0.25">
      <c r="A175" s="92" t="s">
        <v>792</v>
      </c>
      <c r="B175" s="92" t="s">
        <v>1363</v>
      </c>
      <c r="C175" s="93" t="s">
        <v>1364</v>
      </c>
      <c r="D175" s="94" t="s">
        <v>1355</v>
      </c>
      <c r="E175" s="94" t="s">
        <v>1365</v>
      </c>
      <c r="F175" s="90" t="s">
        <v>850</v>
      </c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1"/>
    </row>
    <row r="176" spans="1:26" ht="28.8" x14ac:dyDescent="0.25">
      <c r="A176" s="92" t="s">
        <v>792</v>
      </c>
      <c r="B176" s="92" t="s">
        <v>1366</v>
      </c>
      <c r="C176" s="93" t="s">
        <v>1367</v>
      </c>
      <c r="D176" s="94" t="s">
        <v>1355</v>
      </c>
      <c r="E176" s="94" t="s">
        <v>1368</v>
      </c>
      <c r="F176" s="90" t="s">
        <v>1181</v>
      </c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1"/>
    </row>
    <row r="177" spans="1:26" ht="28.8" x14ac:dyDescent="0.25">
      <c r="A177" s="92" t="s">
        <v>792</v>
      </c>
      <c r="B177" s="92" t="s">
        <v>1369</v>
      </c>
      <c r="C177" s="93" t="s">
        <v>1370</v>
      </c>
      <c r="D177" s="94" t="s">
        <v>1355</v>
      </c>
      <c r="E177" s="94" t="s">
        <v>1371</v>
      </c>
      <c r="F177" s="90" t="s">
        <v>862</v>
      </c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1"/>
    </row>
    <row r="178" spans="1:26" ht="28.8" x14ac:dyDescent="0.25">
      <c r="A178" s="92" t="s">
        <v>792</v>
      </c>
      <c r="B178" s="92" t="s">
        <v>1372</v>
      </c>
      <c r="C178" s="93" t="s">
        <v>1373</v>
      </c>
      <c r="D178" s="94" t="s">
        <v>1062</v>
      </c>
      <c r="E178" s="94" t="s">
        <v>1374</v>
      </c>
      <c r="F178" s="90" t="s">
        <v>792</v>
      </c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1"/>
    </row>
    <row r="179" spans="1:26" ht="43.2" x14ac:dyDescent="0.25">
      <c r="A179" s="92" t="s">
        <v>792</v>
      </c>
      <c r="B179" s="92" t="s">
        <v>1375</v>
      </c>
      <c r="C179" s="93" t="s">
        <v>1376</v>
      </c>
      <c r="D179" s="94" t="s">
        <v>1062</v>
      </c>
      <c r="E179" s="94" t="s">
        <v>1377</v>
      </c>
      <c r="F179" s="90" t="s">
        <v>792</v>
      </c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1"/>
    </row>
    <row r="180" spans="1:26" ht="43.2" x14ac:dyDescent="0.25">
      <c r="A180" s="92" t="s">
        <v>792</v>
      </c>
      <c r="B180" s="92" t="s">
        <v>1378</v>
      </c>
      <c r="C180" s="93" t="s">
        <v>1379</v>
      </c>
      <c r="D180" s="94" t="s">
        <v>1062</v>
      </c>
      <c r="E180" s="94" t="s">
        <v>1380</v>
      </c>
      <c r="F180" s="90" t="s">
        <v>1381</v>
      </c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1"/>
    </row>
    <row r="181" spans="1:26" ht="43.2" x14ac:dyDescent="0.25">
      <c r="A181" s="92" t="s">
        <v>792</v>
      </c>
      <c r="B181" s="92" t="s">
        <v>1382</v>
      </c>
      <c r="C181" s="93" t="s">
        <v>1383</v>
      </c>
      <c r="D181" s="94" t="s">
        <v>1384</v>
      </c>
      <c r="E181" s="94" t="s">
        <v>1385</v>
      </c>
      <c r="F181" s="90" t="s">
        <v>902</v>
      </c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1"/>
    </row>
    <row r="182" spans="1:26" ht="28.8" x14ac:dyDescent="0.25">
      <c r="A182" s="92" t="s">
        <v>792</v>
      </c>
      <c r="B182" s="92" t="s">
        <v>1386</v>
      </c>
      <c r="C182" s="93" t="s">
        <v>1387</v>
      </c>
      <c r="D182" s="94" t="s">
        <v>1388</v>
      </c>
      <c r="E182" s="94" t="s">
        <v>1388</v>
      </c>
      <c r="F182" s="90" t="s">
        <v>1243</v>
      </c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1"/>
    </row>
    <row r="183" spans="1:26" ht="72" x14ac:dyDescent="0.25">
      <c r="A183" s="92" t="s">
        <v>792</v>
      </c>
      <c r="B183" s="92" t="s">
        <v>1389</v>
      </c>
      <c r="C183" s="93" t="s">
        <v>1390</v>
      </c>
      <c r="D183" s="94" t="s">
        <v>1391</v>
      </c>
      <c r="E183" s="94" t="s">
        <v>1391</v>
      </c>
      <c r="F183" s="90" t="s">
        <v>847</v>
      </c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1"/>
    </row>
    <row r="184" spans="1:26" ht="72" x14ac:dyDescent="0.25">
      <c r="A184" s="92" t="s">
        <v>792</v>
      </c>
      <c r="B184" s="92" t="s">
        <v>1392</v>
      </c>
      <c r="C184" s="93" t="s">
        <v>1393</v>
      </c>
      <c r="D184" s="94" t="s">
        <v>1391</v>
      </c>
      <c r="E184" s="94" t="s">
        <v>1394</v>
      </c>
      <c r="F184" s="90" t="s">
        <v>847</v>
      </c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1"/>
    </row>
    <row r="185" spans="1:26" ht="14.4" x14ac:dyDescent="0.25">
      <c r="A185" s="92"/>
      <c r="B185" s="92"/>
      <c r="C185" s="93"/>
      <c r="D185" s="94"/>
      <c r="E185" s="94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1"/>
    </row>
    <row r="186" spans="1:26" ht="14.4" x14ac:dyDescent="0.25">
      <c r="A186" s="92"/>
      <c r="B186" s="92"/>
      <c r="C186" s="93"/>
      <c r="D186" s="94"/>
      <c r="E186" s="94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1"/>
    </row>
    <row r="187" spans="1:26" ht="14.4" x14ac:dyDescent="0.25">
      <c r="A187" s="92"/>
      <c r="B187" s="92"/>
      <c r="C187" s="93"/>
      <c r="D187" s="94"/>
      <c r="E187" s="94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1"/>
    </row>
    <row r="188" spans="1:26" ht="14.4" x14ac:dyDescent="0.25">
      <c r="A188" s="92"/>
      <c r="B188" s="92"/>
      <c r="C188" s="93"/>
      <c r="D188" s="94"/>
      <c r="E188" s="94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1"/>
    </row>
    <row r="189" spans="1:26" ht="14.4" x14ac:dyDescent="0.25">
      <c r="A189" s="92"/>
      <c r="B189" s="92"/>
      <c r="C189" s="93"/>
      <c r="D189" s="94"/>
      <c r="E189" s="94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1"/>
    </row>
    <row r="190" spans="1:26" ht="14.4" x14ac:dyDescent="0.25">
      <c r="A190" s="92"/>
      <c r="B190" s="92"/>
      <c r="C190" s="93"/>
      <c r="D190" s="94"/>
      <c r="E190" s="94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1"/>
    </row>
    <row r="191" spans="1:26" ht="14.4" x14ac:dyDescent="0.25">
      <c r="A191" s="92"/>
      <c r="B191" s="92"/>
      <c r="C191" s="93"/>
      <c r="D191" s="94"/>
      <c r="E191" s="94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1"/>
    </row>
    <row r="192" spans="1:26" ht="14.4" x14ac:dyDescent="0.25">
      <c r="A192" s="92"/>
      <c r="B192" s="92"/>
      <c r="C192" s="93"/>
      <c r="D192" s="94"/>
      <c r="E192" s="94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1"/>
    </row>
    <row r="193" spans="1:26" ht="14.4" x14ac:dyDescent="0.25">
      <c r="A193" s="92"/>
      <c r="B193" s="92"/>
      <c r="C193" s="93"/>
      <c r="D193" s="94"/>
      <c r="E193" s="94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1"/>
    </row>
    <row r="194" spans="1:26" ht="14.4" x14ac:dyDescent="0.25">
      <c r="A194" s="92"/>
      <c r="B194" s="92"/>
      <c r="C194" s="93"/>
      <c r="D194" s="94"/>
      <c r="E194" s="94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1"/>
    </row>
    <row r="195" spans="1:26" ht="14.4" x14ac:dyDescent="0.25">
      <c r="A195" s="92"/>
      <c r="B195" s="92"/>
      <c r="C195" s="93"/>
      <c r="D195" s="94"/>
      <c r="E195" s="94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1"/>
    </row>
    <row r="196" spans="1:26" ht="14.4" x14ac:dyDescent="0.25">
      <c r="A196" s="92"/>
      <c r="B196" s="92"/>
      <c r="C196" s="93"/>
      <c r="D196" s="94"/>
      <c r="E196" s="94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1"/>
    </row>
    <row r="197" spans="1:26" ht="14.4" x14ac:dyDescent="0.25">
      <c r="A197" s="92"/>
      <c r="B197" s="92"/>
      <c r="C197" s="93"/>
      <c r="D197" s="94"/>
      <c r="E197" s="94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1"/>
    </row>
    <row r="198" spans="1:26" ht="14.4" x14ac:dyDescent="0.25">
      <c r="A198" s="92"/>
      <c r="B198" s="92"/>
      <c r="C198" s="93"/>
      <c r="D198" s="94"/>
      <c r="E198" s="94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1"/>
    </row>
    <row r="199" spans="1:26" ht="14.4" x14ac:dyDescent="0.25">
      <c r="A199" s="92"/>
      <c r="B199" s="92"/>
      <c r="C199" s="93"/>
      <c r="D199" s="94"/>
      <c r="E199" s="94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1"/>
    </row>
    <row r="200" spans="1:26" ht="14.4" x14ac:dyDescent="0.25">
      <c r="A200" s="92"/>
      <c r="B200" s="92"/>
      <c r="C200" s="93"/>
      <c r="D200" s="94"/>
      <c r="E200" s="94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1"/>
    </row>
    <row r="201" spans="1:26" ht="14.4" x14ac:dyDescent="0.25">
      <c r="A201" s="92"/>
      <c r="B201" s="92"/>
      <c r="C201" s="93"/>
      <c r="D201" s="94"/>
      <c r="E201" s="94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1"/>
    </row>
    <row r="202" spans="1:26" ht="14.4" x14ac:dyDescent="0.25">
      <c r="A202" s="92"/>
      <c r="B202" s="92"/>
      <c r="C202" s="93"/>
      <c r="D202" s="94"/>
      <c r="E202" s="94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1"/>
    </row>
    <row r="203" spans="1:26" ht="14.4" x14ac:dyDescent="0.25">
      <c r="A203" s="92"/>
      <c r="B203" s="92"/>
      <c r="C203" s="93"/>
      <c r="D203" s="94"/>
      <c r="E203" s="94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1"/>
    </row>
    <row r="204" spans="1:26" ht="14.4" x14ac:dyDescent="0.25">
      <c r="A204" s="92"/>
      <c r="B204" s="92"/>
      <c r="C204" s="93"/>
      <c r="D204" s="94"/>
      <c r="E204" s="94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1"/>
    </row>
    <row r="205" spans="1:26" ht="14.4" x14ac:dyDescent="0.25">
      <c r="A205" s="92"/>
      <c r="B205" s="92"/>
      <c r="C205" s="93"/>
      <c r="D205" s="94"/>
      <c r="E205" s="94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1"/>
    </row>
    <row r="206" spans="1:26" ht="14.4" x14ac:dyDescent="0.25">
      <c r="A206" s="92"/>
      <c r="B206" s="92"/>
      <c r="C206" s="93"/>
      <c r="D206" s="94"/>
      <c r="E206" s="94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1"/>
    </row>
    <row r="207" spans="1:26" ht="14.4" x14ac:dyDescent="0.25">
      <c r="A207" s="92"/>
      <c r="B207" s="92"/>
      <c r="C207" s="93"/>
      <c r="D207" s="94"/>
      <c r="E207" s="94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1"/>
    </row>
    <row r="208" spans="1:26" ht="14.4" x14ac:dyDescent="0.25">
      <c r="A208" s="92"/>
      <c r="B208" s="92"/>
      <c r="C208" s="93"/>
      <c r="D208" s="94"/>
      <c r="E208" s="94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1"/>
    </row>
    <row r="209" spans="1:26" ht="14.4" x14ac:dyDescent="0.25">
      <c r="A209" s="92"/>
      <c r="B209" s="92"/>
      <c r="C209" s="93"/>
      <c r="D209" s="94"/>
      <c r="E209" s="94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1"/>
    </row>
    <row r="210" spans="1:26" ht="14.4" x14ac:dyDescent="0.25">
      <c r="A210" s="92"/>
      <c r="B210" s="92"/>
      <c r="C210" s="93"/>
      <c r="D210" s="94"/>
      <c r="E210" s="94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1"/>
    </row>
    <row r="211" spans="1:26" ht="14.4" x14ac:dyDescent="0.25">
      <c r="A211" s="92"/>
      <c r="B211" s="92"/>
      <c r="C211" s="93"/>
      <c r="D211" s="94"/>
      <c r="E211" s="94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1"/>
    </row>
    <row r="212" spans="1:26" ht="14.4" x14ac:dyDescent="0.25">
      <c r="A212" s="92"/>
      <c r="B212" s="92"/>
      <c r="C212" s="93"/>
      <c r="D212" s="94"/>
      <c r="E212" s="94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1"/>
    </row>
    <row r="213" spans="1:26" ht="14.4" x14ac:dyDescent="0.25">
      <c r="A213" s="92"/>
      <c r="B213" s="92"/>
      <c r="C213" s="93"/>
      <c r="D213" s="94"/>
      <c r="E213" s="94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1"/>
    </row>
    <row r="214" spans="1:26" ht="14.4" x14ac:dyDescent="0.25">
      <c r="A214" s="92"/>
      <c r="B214" s="92"/>
      <c r="C214" s="93"/>
      <c r="D214" s="94"/>
      <c r="E214" s="94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1"/>
    </row>
    <row r="215" spans="1:26" ht="14.4" x14ac:dyDescent="0.25">
      <c r="A215" s="92"/>
      <c r="B215" s="92"/>
      <c r="C215" s="93"/>
      <c r="D215" s="94"/>
      <c r="E215" s="94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1"/>
    </row>
    <row r="216" spans="1:26" ht="14.4" x14ac:dyDescent="0.25">
      <c r="A216" s="92"/>
      <c r="B216" s="92"/>
      <c r="C216" s="93"/>
      <c r="D216" s="94"/>
      <c r="E216" s="94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1"/>
    </row>
    <row r="217" spans="1:26" ht="14.4" x14ac:dyDescent="0.25">
      <c r="A217" s="92"/>
      <c r="B217" s="92"/>
      <c r="C217" s="93"/>
      <c r="D217" s="94"/>
      <c r="E217" s="94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1"/>
    </row>
    <row r="218" spans="1:26" ht="14.4" x14ac:dyDescent="0.25">
      <c r="A218" s="92"/>
      <c r="B218" s="92"/>
      <c r="C218" s="93"/>
      <c r="D218" s="94"/>
      <c r="E218" s="94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1"/>
    </row>
    <row r="219" spans="1:26" ht="14.4" x14ac:dyDescent="0.25">
      <c r="A219" s="92"/>
      <c r="B219" s="92"/>
      <c r="C219" s="93"/>
      <c r="D219" s="94"/>
      <c r="E219" s="94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1"/>
    </row>
    <row r="220" spans="1:26" ht="14.4" x14ac:dyDescent="0.25">
      <c r="A220" s="92"/>
      <c r="B220" s="92"/>
      <c r="C220" s="93"/>
      <c r="D220" s="94"/>
      <c r="E220" s="94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1"/>
    </row>
    <row r="221" spans="1:26" ht="14.4" x14ac:dyDescent="0.25">
      <c r="A221" s="92"/>
      <c r="B221" s="92"/>
      <c r="C221" s="93"/>
      <c r="D221" s="94"/>
      <c r="E221" s="94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1"/>
    </row>
    <row r="222" spans="1:26" ht="14.4" x14ac:dyDescent="0.25">
      <c r="A222" s="92"/>
      <c r="B222" s="92"/>
      <c r="C222" s="93"/>
      <c r="D222" s="94"/>
      <c r="E222" s="94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1"/>
    </row>
    <row r="223" spans="1:26" ht="14.4" x14ac:dyDescent="0.25">
      <c r="A223" s="92"/>
      <c r="B223" s="92"/>
      <c r="C223" s="93"/>
      <c r="D223" s="94"/>
      <c r="E223" s="94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1"/>
    </row>
    <row r="224" spans="1:26" ht="14.4" x14ac:dyDescent="0.25">
      <c r="A224" s="92"/>
      <c r="B224" s="92"/>
      <c r="C224" s="93"/>
      <c r="D224" s="94"/>
      <c r="E224" s="94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1"/>
    </row>
    <row r="225" spans="1:26" ht="14.4" x14ac:dyDescent="0.25">
      <c r="A225" s="92"/>
      <c r="B225" s="92"/>
      <c r="C225" s="93"/>
      <c r="D225" s="94"/>
      <c r="E225" s="94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1"/>
    </row>
    <row r="226" spans="1:26" ht="14.4" x14ac:dyDescent="0.25">
      <c r="A226" s="92"/>
      <c r="B226" s="92"/>
      <c r="C226" s="93"/>
      <c r="D226" s="94"/>
      <c r="E226" s="94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1"/>
    </row>
    <row r="227" spans="1:26" ht="14.4" x14ac:dyDescent="0.25">
      <c r="A227" s="92"/>
      <c r="B227" s="92"/>
      <c r="C227" s="93"/>
      <c r="D227" s="94"/>
      <c r="E227" s="94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1"/>
    </row>
    <row r="228" spans="1:26" ht="14.4" x14ac:dyDescent="0.25">
      <c r="A228" s="92"/>
      <c r="B228" s="92"/>
      <c r="C228" s="93"/>
      <c r="D228" s="94"/>
      <c r="E228" s="94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1"/>
    </row>
    <row r="229" spans="1:26" ht="14.4" x14ac:dyDescent="0.25">
      <c r="A229" s="92"/>
      <c r="B229" s="92"/>
      <c r="C229" s="93"/>
      <c r="D229" s="94"/>
      <c r="E229" s="94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1"/>
    </row>
    <row r="230" spans="1:26" ht="14.4" x14ac:dyDescent="0.25">
      <c r="A230" s="92"/>
      <c r="B230" s="92"/>
      <c r="C230" s="93"/>
      <c r="D230" s="94"/>
      <c r="E230" s="94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1"/>
    </row>
    <row r="231" spans="1:26" ht="14.4" x14ac:dyDescent="0.25">
      <c r="A231" s="92"/>
      <c r="B231" s="92"/>
      <c r="C231" s="93"/>
      <c r="D231" s="94"/>
      <c r="E231" s="94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1"/>
    </row>
    <row r="232" spans="1:26" ht="14.4" x14ac:dyDescent="0.25">
      <c r="A232" s="92"/>
      <c r="B232" s="92"/>
      <c r="C232" s="93"/>
      <c r="D232" s="94"/>
      <c r="E232" s="94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1"/>
    </row>
    <row r="233" spans="1:26" ht="14.4" x14ac:dyDescent="0.25">
      <c r="A233" s="92"/>
      <c r="B233" s="92"/>
      <c r="C233" s="93"/>
      <c r="D233" s="94"/>
      <c r="E233" s="94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1"/>
    </row>
    <row r="234" spans="1:26" ht="14.4" x14ac:dyDescent="0.25">
      <c r="A234" s="92"/>
      <c r="B234" s="92"/>
      <c r="C234" s="93"/>
      <c r="D234" s="94"/>
      <c r="E234" s="94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1"/>
    </row>
    <row r="235" spans="1:26" ht="14.4" x14ac:dyDescent="0.25">
      <c r="A235" s="92"/>
      <c r="B235" s="92"/>
      <c r="C235" s="93"/>
      <c r="D235" s="94"/>
      <c r="E235" s="94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1"/>
    </row>
    <row r="236" spans="1:26" ht="14.4" x14ac:dyDescent="0.25">
      <c r="A236" s="92"/>
      <c r="B236" s="92"/>
      <c r="C236" s="93"/>
      <c r="D236" s="94"/>
      <c r="E236" s="94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1"/>
    </row>
    <row r="237" spans="1:26" ht="14.4" x14ac:dyDescent="0.25">
      <c r="A237" s="92"/>
      <c r="B237" s="92"/>
      <c r="C237" s="93"/>
      <c r="D237" s="94"/>
      <c r="E237" s="94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1"/>
    </row>
    <row r="238" spans="1:26" ht="14.4" x14ac:dyDescent="0.25">
      <c r="A238" s="92"/>
      <c r="B238" s="92"/>
      <c r="C238" s="93"/>
      <c r="D238" s="94"/>
      <c r="E238" s="94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1"/>
    </row>
    <row r="239" spans="1:26" ht="14.4" x14ac:dyDescent="0.25">
      <c r="A239" s="92"/>
      <c r="B239" s="92"/>
      <c r="C239" s="93"/>
      <c r="D239" s="94"/>
      <c r="E239" s="94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1"/>
    </row>
    <row r="240" spans="1:26" ht="14.4" x14ac:dyDescent="0.25">
      <c r="A240" s="92"/>
      <c r="B240" s="92"/>
      <c r="C240" s="93"/>
      <c r="D240" s="94"/>
      <c r="E240" s="94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1"/>
    </row>
    <row r="241" spans="1:26" ht="14.4" x14ac:dyDescent="0.25">
      <c r="A241" s="92"/>
      <c r="B241" s="92"/>
      <c r="C241" s="93"/>
      <c r="D241" s="94"/>
      <c r="E241" s="94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1"/>
    </row>
    <row r="242" spans="1:26" ht="14.4" x14ac:dyDescent="0.25">
      <c r="A242" s="92"/>
      <c r="B242" s="92"/>
      <c r="C242" s="93"/>
      <c r="D242" s="94"/>
      <c r="E242" s="94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1"/>
    </row>
    <row r="243" spans="1:26" ht="14.4" x14ac:dyDescent="0.25">
      <c r="A243" s="92"/>
      <c r="B243" s="92"/>
      <c r="C243" s="93"/>
      <c r="D243" s="94"/>
      <c r="E243" s="94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1"/>
    </row>
    <row r="244" spans="1:26" ht="14.4" x14ac:dyDescent="0.25">
      <c r="A244" s="92"/>
      <c r="B244" s="92"/>
      <c r="C244" s="93"/>
      <c r="D244" s="94"/>
      <c r="E244" s="94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1"/>
    </row>
    <row r="245" spans="1:26" ht="14.4" x14ac:dyDescent="0.25">
      <c r="A245" s="92"/>
      <c r="B245" s="92"/>
      <c r="C245" s="93"/>
      <c r="D245" s="94"/>
      <c r="E245" s="94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1"/>
    </row>
    <row r="246" spans="1:26" ht="14.4" x14ac:dyDescent="0.25">
      <c r="A246" s="92"/>
      <c r="B246" s="92"/>
      <c r="C246" s="93"/>
      <c r="D246" s="94"/>
      <c r="E246" s="94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1"/>
    </row>
    <row r="247" spans="1:26" ht="14.4" x14ac:dyDescent="0.25">
      <c r="A247" s="92"/>
      <c r="B247" s="92"/>
      <c r="C247" s="93"/>
      <c r="D247" s="94"/>
      <c r="E247" s="94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1"/>
    </row>
    <row r="248" spans="1:26" ht="14.4" x14ac:dyDescent="0.25">
      <c r="A248" s="92"/>
      <c r="B248" s="92"/>
      <c r="C248" s="93"/>
      <c r="D248" s="94"/>
      <c r="E248" s="94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1"/>
    </row>
    <row r="249" spans="1:26" ht="14.4" x14ac:dyDescent="0.25">
      <c r="A249" s="92"/>
      <c r="B249" s="92"/>
      <c r="C249" s="93"/>
      <c r="D249" s="94"/>
      <c r="E249" s="94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1"/>
    </row>
    <row r="250" spans="1:26" ht="14.4" x14ac:dyDescent="0.25">
      <c r="A250" s="92"/>
      <c r="B250" s="92"/>
      <c r="C250" s="93"/>
      <c r="D250" s="94"/>
      <c r="E250" s="94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1"/>
    </row>
    <row r="251" spans="1:26" ht="14.4" x14ac:dyDescent="0.25">
      <c r="A251" s="92"/>
      <c r="B251" s="92"/>
      <c r="C251" s="93"/>
      <c r="D251" s="94"/>
      <c r="E251" s="94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1"/>
    </row>
    <row r="252" spans="1:26" ht="14.4" x14ac:dyDescent="0.25">
      <c r="A252" s="92"/>
      <c r="B252" s="92"/>
      <c r="C252" s="93"/>
      <c r="D252" s="94"/>
      <c r="E252" s="94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1"/>
    </row>
    <row r="253" spans="1:26" ht="14.4" x14ac:dyDescent="0.25">
      <c r="A253" s="92"/>
      <c r="B253" s="92"/>
      <c r="C253" s="93"/>
      <c r="D253" s="94"/>
      <c r="E253" s="94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1"/>
    </row>
    <row r="254" spans="1:26" ht="14.4" x14ac:dyDescent="0.25">
      <c r="A254" s="92"/>
      <c r="B254" s="92"/>
      <c r="C254" s="93"/>
      <c r="D254" s="94"/>
      <c r="E254" s="94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1"/>
    </row>
    <row r="255" spans="1:26" ht="14.4" x14ac:dyDescent="0.25">
      <c r="A255" s="92"/>
      <c r="B255" s="92"/>
      <c r="C255" s="93"/>
      <c r="D255" s="94"/>
      <c r="E255" s="94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1"/>
    </row>
    <row r="256" spans="1:26" ht="14.4" x14ac:dyDescent="0.25">
      <c r="A256" s="92"/>
      <c r="B256" s="92"/>
      <c r="C256" s="93"/>
      <c r="D256" s="94"/>
      <c r="E256" s="94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1"/>
    </row>
    <row r="257" spans="1:26" ht="14.4" x14ac:dyDescent="0.25">
      <c r="A257" s="92"/>
      <c r="B257" s="92"/>
      <c r="C257" s="93"/>
      <c r="D257" s="94"/>
      <c r="E257" s="94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1"/>
    </row>
    <row r="258" spans="1:26" ht="14.4" x14ac:dyDescent="0.25">
      <c r="A258" s="92"/>
      <c r="B258" s="92"/>
      <c r="C258" s="93"/>
      <c r="D258" s="94"/>
      <c r="E258" s="94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1"/>
    </row>
    <row r="259" spans="1:26" ht="14.4" x14ac:dyDescent="0.25">
      <c r="A259" s="92"/>
      <c r="B259" s="92"/>
      <c r="C259" s="93"/>
      <c r="D259" s="94"/>
      <c r="E259" s="94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1"/>
    </row>
    <row r="260" spans="1:26" ht="14.4" x14ac:dyDescent="0.25">
      <c r="A260" s="92"/>
      <c r="B260" s="92"/>
      <c r="C260" s="93"/>
      <c r="D260" s="94"/>
      <c r="E260" s="94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1"/>
    </row>
    <row r="261" spans="1:26" ht="14.4" x14ac:dyDescent="0.25">
      <c r="A261" s="92"/>
      <c r="B261" s="92"/>
      <c r="C261" s="93"/>
      <c r="D261" s="94"/>
      <c r="E261" s="94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1"/>
    </row>
    <row r="262" spans="1:26" ht="14.4" x14ac:dyDescent="0.25">
      <c r="A262" s="92"/>
      <c r="B262" s="92"/>
      <c r="C262" s="93"/>
      <c r="D262" s="94"/>
      <c r="E262" s="94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1"/>
    </row>
    <row r="263" spans="1:26" ht="14.4" x14ac:dyDescent="0.25">
      <c r="A263" s="92"/>
      <c r="B263" s="92"/>
      <c r="C263" s="93"/>
      <c r="D263" s="94"/>
      <c r="E263" s="94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1"/>
    </row>
    <row r="264" spans="1:26" ht="14.4" x14ac:dyDescent="0.25">
      <c r="A264" s="92"/>
      <c r="B264" s="92"/>
      <c r="C264" s="93"/>
      <c r="D264" s="94"/>
      <c r="E264" s="94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1"/>
    </row>
    <row r="265" spans="1:26" ht="14.4" x14ac:dyDescent="0.25">
      <c r="A265" s="92"/>
      <c r="B265" s="92"/>
      <c r="C265" s="93"/>
      <c r="D265" s="94"/>
      <c r="E265" s="94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1"/>
    </row>
    <row r="266" spans="1:26" ht="14.4" x14ac:dyDescent="0.25">
      <c r="A266" s="92"/>
      <c r="B266" s="92"/>
      <c r="C266" s="93"/>
      <c r="D266" s="94"/>
      <c r="E266" s="94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1"/>
    </row>
    <row r="267" spans="1:26" ht="14.4" x14ac:dyDescent="0.25">
      <c r="A267" s="92"/>
      <c r="B267" s="92"/>
      <c r="C267" s="93"/>
      <c r="D267" s="94"/>
      <c r="E267" s="94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1"/>
    </row>
    <row r="268" spans="1:26" ht="14.4" x14ac:dyDescent="0.25">
      <c r="A268" s="92"/>
      <c r="B268" s="92"/>
      <c r="C268" s="93"/>
      <c r="D268" s="94"/>
      <c r="E268" s="94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1"/>
    </row>
    <row r="269" spans="1:26" ht="14.4" x14ac:dyDescent="0.25">
      <c r="A269" s="92"/>
      <c r="B269" s="92"/>
      <c r="C269" s="93"/>
      <c r="D269" s="94"/>
      <c r="E269" s="94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1"/>
    </row>
    <row r="270" spans="1:26" ht="14.4" x14ac:dyDescent="0.25">
      <c r="A270" s="92"/>
      <c r="B270" s="92"/>
      <c r="C270" s="93"/>
      <c r="D270" s="94"/>
      <c r="E270" s="94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1"/>
    </row>
    <row r="271" spans="1:26" ht="14.4" x14ac:dyDescent="0.25">
      <c r="A271" s="92"/>
      <c r="B271" s="92"/>
      <c r="C271" s="93"/>
      <c r="D271" s="94"/>
      <c r="E271" s="94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1"/>
    </row>
    <row r="272" spans="1:26" ht="14.4" x14ac:dyDescent="0.25">
      <c r="A272" s="92"/>
      <c r="B272" s="92"/>
      <c r="C272" s="93"/>
      <c r="D272" s="94"/>
      <c r="E272" s="94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1"/>
    </row>
    <row r="273" spans="1:26" ht="14.4" x14ac:dyDescent="0.25">
      <c r="A273" s="92"/>
      <c r="B273" s="92"/>
      <c r="C273" s="93"/>
      <c r="D273" s="94"/>
      <c r="E273" s="94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1"/>
    </row>
    <row r="274" spans="1:26" ht="14.4" x14ac:dyDescent="0.25">
      <c r="A274" s="92"/>
      <c r="B274" s="92"/>
      <c r="C274" s="93"/>
      <c r="D274" s="94"/>
      <c r="E274" s="94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1"/>
    </row>
    <row r="275" spans="1:26" ht="14.4" x14ac:dyDescent="0.25">
      <c r="A275" s="92"/>
      <c r="B275" s="92"/>
      <c r="C275" s="93"/>
      <c r="D275" s="94"/>
      <c r="E275" s="94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1"/>
    </row>
    <row r="276" spans="1:26" ht="14.4" x14ac:dyDescent="0.25">
      <c r="A276" s="92"/>
      <c r="B276" s="92"/>
      <c r="C276" s="93"/>
      <c r="D276" s="94"/>
      <c r="E276" s="94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1"/>
    </row>
    <row r="277" spans="1:26" ht="14.4" x14ac:dyDescent="0.25">
      <c r="A277" s="92"/>
      <c r="B277" s="92"/>
      <c r="C277" s="93"/>
      <c r="D277" s="94"/>
      <c r="E277" s="94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1"/>
    </row>
    <row r="278" spans="1:26" ht="14.4" x14ac:dyDescent="0.25">
      <c r="A278" s="92"/>
      <c r="B278" s="92"/>
      <c r="C278" s="93"/>
      <c r="D278" s="94"/>
      <c r="E278" s="94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1"/>
    </row>
    <row r="279" spans="1:26" ht="14.4" x14ac:dyDescent="0.25">
      <c r="A279" s="92"/>
      <c r="B279" s="92"/>
      <c r="C279" s="93"/>
      <c r="D279" s="94"/>
      <c r="E279" s="94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1"/>
    </row>
    <row r="280" spans="1:26" ht="14.4" x14ac:dyDescent="0.25">
      <c r="A280" s="92"/>
      <c r="B280" s="92"/>
      <c r="C280" s="93"/>
      <c r="D280" s="94"/>
      <c r="E280" s="94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1"/>
    </row>
    <row r="281" spans="1:26" ht="14.4" x14ac:dyDescent="0.25">
      <c r="A281" s="92"/>
      <c r="B281" s="92"/>
      <c r="C281" s="93"/>
      <c r="D281" s="94"/>
      <c r="E281" s="94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1"/>
    </row>
    <row r="282" spans="1:26" ht="14.4" x14ac:dyDescent="0.25">
      <c r="A282" s="92"/>
      <c r="B282" s="92"/>
      <c r="C282" s="93"/>
      <c r="D282" s="94"/>
      <c r="E282" s="94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1"/>
    </row>
    <row r="283" spans="1:26" ht="14.4" x14ac:dyDescent="0.25">
      <c r="A283" s="92"/>
      <c r="B283" s="92"/>
      <c r="C283" s="93"/>
      <c r="D283" s="94"/>
      <c r="E283" s="94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1"/>
    </row>
    <row r="284" spans="1:26" ht="14.4" x14ac:dyDescent="0.25">
      <c r="A284" s="92"/>
      <c r="B284" s="92"/>
      <c r="C284" s="93"/>
      <c r="D284" s="94"/>
      <c r="E284" s="94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1"/>
    </row>
    <row r="285" spans="1:26" ht="14.4" x14ac:dyDescent="0.25">
      <c r="A285" s="92"/>
      <c r="B285" s="92"/>
      <c r="C285" s="93"/>
      <c r="D285" s="94"/>
      <c r="E285" s="94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1"/>
    </row>
    <row r="286" spans="1:26" ht="14.4" x14ac:dyDescent="0.25">
      <c r="A286" s="92"/>
      <c r="B286" s="92"/>
      <c r="C286" s="93"/>
      <c r="D286" s="94"/>
      <c r="E286" s="94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1"/>
    </row>
    <row r="287" spans="1:26" ht="14.4" x14ac:dyDescent="0.25">
      <c r="A287" s="92"/>
      <c r="B287" s="92"/>
      <c r="C287" s="93"/>
      <c r="D287" s="94"/>
      <c r="E287" s="94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1"/>
    </row>
    <row r="288" spans="1:26" ht="14.4" x14ac:dyDescent="0.25">
      <c r="A288" s="92"/>
      <c r="B288" s="92"/>
      <c r="C288" s="93"/>
      <c r="D288" s="94"/>
      <c r="E288" s="94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1"/>
    </row>
    <row r="289" spans="1:26" ht="14.4" x14ac:dyDescent="0.25">
      <c r="A289" s="92"/>
      <c r="B289" s="92"/>
      <c r="C289" s="93"/>
      <c r="D289" s="94"/>
      <c r="E289" s="94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1"/>
    </row>
    <row r="290" spans="1:26" ht="14.4" x14ac:dyDescent="0.25">
      <c r="A290" s="92"/>
      <c r="B290" s="92"/>
      <c r="C290" s="93"/>
      <c r="D290" s="94"/>
      <c r="E290" s="94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1"/>
    </row>
    <row r="291" spans="1:26" ht="14.4" x14ac:dyDescent="0.25">
      <c r="A291" s="92"/>
      <c r="B291" s="92"/>
      <c r="C291" s="93"/>
      <c r="D291" s="94"/>
      <c r="E291" s="94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1"/>
    </row>
    <row r="292" spans="1:26" ht="14.4" x14ac:dyDescent="0.25">
      <c r="A292" s="92"/>
      <c r="B292" s="92"/>
      <c r="C292" s="93"/>
      <c r="D292" s="94"/>
      <c r="E292" s="94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1"/>
    </row>
    <row r="293" spans="1:26" ht="14.4" x14ac:dyDescent="0.25">
      <c r="A293" s="92"/>
      <c r="B293" s="92"/>
      <c r="C293" s="93"/>
      <c r="D293" s="94"/>
      <c r="E293" s="94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1"/>
    </row>
    <row r="294" spans="1:26" ht="14.4" x14ac:dyDescent="0.25">
      <c r="A294" s="92"/>
      <c r="B294" s="92"/>
      <c r="C294" s="93"/>
      <c r="D294" s="94"/>
      <c r="E294" s="94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1"/>
    </row>
    <row r="295" spans="1:26" ht="14.4" x14ac:dyDescent="0.25">
      <c r="A295" s="92"/>
      <c r="B295" s="92"/>
      <c r="C295" s="93"/>
      <c r="D295" s="94"/>
      <c r="E295" s="94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1"/>
    </row>
    <row r="296" spans="1:26" ht="14.4" x14ac:dyDescent="0.25">
      <c r="A296" s="92"/>
      <c r="B296" s="92"/>
      <c r="C296" s="93"/>
      <c r="D296" s="94"/>
      <c r="E296" s="94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1"/>
    </row>
    <row r="297" spans="1:26" ht="14.4" x14ac:dyDescent="0.25">
      <c r="A297" s="92"/>
      <c r="B297" s="92"/>
      <c r="C297" s="93"/>
      <c r="D297" s="94"/>
      <c r="E297" s="94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1"/>
    </row>
    <row r="298" spans="1:26" ht="14.4" x14ac:dyDescent="0.25">
      <c r="A298" s="92"/>
      <c r="B298" s="92"/>
      <c r="C298" s="93"/>
      <c r="D298" s="94"/>
      <c r="E298" s="94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1"/>
    </row>
    <row r="299" spans="1:26" ht="14.4" x14ac:dyDescent="0.25">
      <c r="A299" s="92"/>
      <c r="B299" s="92"/>
      <c r="C299" s="93"/>
      <c r="D299" s="94"/>
      <c r="E299" s="94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1"/>
    </row>
    <row r="300" spans="1:26" ht="14.4" x14ac:dyDescent="0.25">
      <c r="A300" s="92"/>
      <c r="B300" s="92"/>
      <c r="C300" s="93"/>
      <c r="D300" s="94"/>
      <c r="E300" s="94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1"/>
    </row>
    <row r="301" spans="1:26" ht="14.4" x14ac:dyDescent="0.25">
      <c r="A301" s="92"/>
      <c r="B301" s="92"/>
      <c r="C301" s="93"/>
      <c r="D301" s="94"/>
      <c r="E301" s="94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1"/>
    </row>
    <row r="302" spans="1:26" ht="14.4" x14ac:dyDescent="0.25">
      <c r="A302" s="92"/>
      <c r="B302" s="92"/>
      <c r="C302" s="93"/>
      <c r="D302" s="94"/>
      <c r="E302" s="94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1"/>
    </row>
    <row r="303" spans="1:26" ht="14.4" x14ac:dyDescent="0.25">
      <c r="A303" s="92"/>
      <c r="B303" s="92"/>
      <c r="C303" s="93"/>
      <c r="D303" s="94"/>
      <c r="E303" s="94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1"/>
    </row>
    <row r="304" spans="1:26" ht="14.4" x14ac:dyDescent="0.25">
      <c r="A304" s="92"/>
      <c r="B304" s="92"/>
      <c r="C304" s="93"/>
      <c r="D304" s="94"/>
      <c r="E304" s="94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1"/>
    </row>
    <row r="305" spans="1:26" ht="14.4" x14ac:dyDescent="0.25">
      <c r="A305" s="92"/>
      <c r="B305" s="92"/>
      <c r="C305" s="93"/>
      <c r="D305" s="94"/>
      <c r="E305" s="94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1"/>
    </row>
    <row r="306" spans="1:26" ht="14.4" x14ac:dyDescent="0.25">
      <c r="A306" s="92"/>
      <c r="B306" s="92"/>
      <c r="C306" s="93"/>
      <c r="D306" s="94"/>
      <c r="E306" s="94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1"/>
    </row>
    <row r="307" spans="1:26" ht="14.4" x14ac:dyDescent="0.25">
      <c r="A307" s="92"/>
      <c r="B307" s="92"/>
      <c r="C307" s="93"/>
      <c r="D307" s="94"/>
      <c r="E307" s="94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1"/>
    </row>
    <row r="308" spans="1:26" ht="14.4" x14ac:dyDescent="0.25">
      <c r="A308" s="92"/>
      <c r="B308" s="92"/>
      <c r="C308" s="93"/>
      <c r="D308" s="94"/>
      <c r="E308" s="94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1"/>
    </row>
    <row r="309" spans="1:26" ht="14.4" x14ac:dyDescent="0.25">
      <c r="A309" s="92"/>
      <c r="B309" s="92"/>
      <c r="C309" s="93"/>
      <c r="D309" s="94"/>
      <c r="E309" s="94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1"/>
    </row>
    <row r="310" spans="1:26" ht="14.4" x14ac:dyDescent="0.25">
      <c r="A310" s="92"/>
      <c r="B310" s="92"/>
      <c r="C310" s="93"/>
      <c r="D310" s="94"/>
      <c r="E310" s="94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1"/>
    </row>
    <row r="311" spans="1:26" ht="14.4" x14ac:dyDescent="0.25">
      <c r="A311" s="92"/>
      <c r="B311" s="92"/>
      <c r="C311" s="93"/>
      <c r="D311" s="94"/>
      <c r="E311" s="94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1"/>
    </row>
    <row r="312" spans="1:26" ht="14.4" x14ac:dyDescent="0.25">
      <c r="A312" s="92"/>
      <c r="B312" s="92"/>
      <c r="C312" s="93"/>
      <c r="D312" s="94"/>
      <c r="E312" s="94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1"/>
    </row>
    <row r="313" spans="1:26" ht="14.4" x14ac:dyDescent="0.25">
      <c r="A313" s="92"/>
      <c r="B313" s="92"/>
      <c r="C313" s="93"/>
      <c r="D313" s="94"/>
      <c r="E313" s="94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1"/>
    </row>
    <row r="314" spans="1:26" ht="14.4" x14ac:dyDescent="0.25">
      <c r="A314" s="92"/>
      <c r="B314" s="92"/>
      <c r="C314" s="93"/>
      <c r="D314" s="94"/>
      <c r="E314" s="94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1"/>
    </row>
    <row r="315" spans="1:26" ht="14.4" x14ac:dyDescent="0.25">
      <c r="A315" s="92"/>
      <c r="B315" s="92"/>
      <c r="C315" s="93"/>
      <c r="D315" s="94"/>
      <c r="E315" s="94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1"/>
    </row>
    <row r="316" spans="1:26" ht="14.4" x14ac:dyDescent="0.25">
      <c r="A316" s="92"/>
      <c r="B316" s="92"/>
      <c r="C316" s="93"/>
      <c r="D316" s="94"/>
      <c r="E316" s="94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1"/>
    </row>
    <row r="317" spans="1:26" ht="14.4" x14ac:dyDescent="0.25">
      <c r="A317" s="92"/>
      <c r="B317" s="92"/>
      <c r="C317" s="93"/>
      <c r="D317" s="94"/>
      <c r="E317" s="94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1"/>
    </row>
    <row r="318" spans="1:26" ht="14.4" x14ac:dyDescent="0.25">
      <c r="A318" s="92"/>
      <c r="B318" s="92"/>
      <c r="C318" s="93"/>
      <c r="D318" s="94"/>
      <c r="E318" s="94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1"/>
    </row>
    <row r="319" spans="1:26" ht="14.4" x14ac:dyDescent="0.25">
      <c r="A319" s="92"/>
      <c r="B319" s="92"/>
      <c r="C319" s="93"/>
      <c r="D319" s="94"/>
      <c r="E319" s="94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1"/>
    </row>
    <row r="320" spans="1:26" ht="14.4" x14ac:dyDescent="0.25">
      <c r="A320" s="92"/>
      <c r="B320" s="92"/>
      <c r="C320" s="93"/>
      <c r="D320" s="94"/>
      <c r="E320" s="94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1"/>
    </row>
    <row r="321" spans="1:26" ht="14.4" x14ac:dyDescent="0.25">
      <c r="A321" s="92"/>
      <c r="B321" s="92"/>
      <c r="C321" s="93"/>
      <c r="D321" s="94"/>
      <c r="E321" s="94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1"/>
    </row>
    <row r="322" spans="1:26" ht="14.4" x14ac:dyDescent="0.25">
      <c r="A322" s="92"/>
      <c r="B322" s="92"/>
      <c r="C322" s="93"/>
      <c r="D322" s="94"/>
      <c r="E322" s="94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1"/>
    </row>
    <row r="323" spans="1:26" ht="14.4" x14ac:dyDescent="0.25">
      <c r="A323" s="92"/>
      <c r="B323" s="92"/>
      <c r="C323" s="93"/>
      <c r="D323" s="94"/>
      <c r="E323" s="94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1"/>
    </row>
    <row r="324" spans="1:26" ht="14.4" x14ac:dyDescent="0.25">
      <c r="A324" s="92"/>
      <c r="B324" s="92"/>
      <c r="C324" s="93"/>
      <c r="D324" s="94"/>
      <c r="E324" s="94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1"/>
    </row>
    <row r="325" spans="1:26" ht="14.4" x14ac:dyDescent="0.25">
      <c r="A325" s="92"/>
      <c r="B325" s="92"/>
      <c r="C325" s="93"/>
      <c r="D325" s="94"/>
      <c r="E325" s="94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1"/>
    </row>
    <row r="326" spans="1:26" ht="14.4" x14ac:dyDescent="0.25">
      <c r="A326" s="92"/>
      <c r="B326" s="92"/>
      <c r="C326" s="93"/>
      <c r="D326" s="94"/>
      <c r="E326" s="94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1"/>
    </row>
    <row r="327" spans="1:26" ht="14.4" x14ac:dyDescent="0.25">
      <c r="A327" s="92"/>
      <c r="B327" s="92"/>
      <c r="C327" s="93"/>
      <c r="D327" s="94"/>
      <c r="E327" s="94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1"/>
    </row>
    <row r="328" spans="1:26" ht="14.4" x14ac:dyDescent="0.25">
      <c r="A328" s="92"/>
      <c r="B328" s="92"/>
      <c r="C328" s="93"/>
      <c r="D328" s="94"/>
      <c r="E328" s="94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1"/>
    </row>
    <row r="329" spans="1:26" ht="14.4" x14ac:dyDescent="0.25">
      <c r="A329" s="92"/>
      <c r="B329" s="92"/>
      <c r="C329" s="93"/>
      <c r="D329" s="94"/>
      <c r="E329" s="94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1"/>
    </row>
    <row r="330" spans="1:26" ht="14.4" x14ac:dyDescent="0.25">
      <c r="A330" s="92"/>
      <c r="B330" s="92"/>
      <c r="C330" s="93"/>
      <c r="D330" s="94"/>
      <c r="E330" s="94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1"/>
    </row>
    <row r="331" spans="1:26" ht="14.4" x14ac:dyDescent="0.25">
      <c r="A331" s="92"/>
      <c r="B331" s="92"/>
      <c r="C331" s="93"/>
      <c r="D331" s="94"/>
      <c r="E331" s="94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1"/>
    </row>
    <row r="332" spans="1:26" ht="14.4" x14ac:dyDescent="0.25">
      <c r="A332" s="92"/>
      <c r="B332" s="92"/>
      <c r="C332" s="93"/>
      <c r="D332" s="94"/>
      <c r="E332" s="94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1"/>
    </row>
    <row r="333" spans="1:26" ht="14.4" x14ac:dyDescent="0.25">
      <c r="A333" s="92"/>
      <c r="B333" s="92"/>
      <c r="C333" s="93"/>
      <c r="D333" s="94"/>
      <c r="E333" s="94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1"/>
    </row>
    <row r="334" spans="1:26" ht="14.4" x14ac:dyDescent="0.25">
      <c r="A334" s="92"/>
      <c r="B334" s="92"/>
      <c r="C334" s="93"/>
      <c r="D334" s="94"/>
      <c r="E334" s="94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1"/>
    </row>
    <row r="335" spans="1:26" ht="14.4" x14ac:dyDescent="0.25">
      <c r="A335" s="92"/>
      <c r="B335" s="92"/>
      <c r="C335" s="93"/>
      <c r="D335" s="94"/>
      <c r="E335" s="94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1"/>
    </row>
    <row r="336" spans="1:26" ht="14.4" x14ac:dyDescent="0.25">
      <c r="A336" s="92"/>
      <c r="B336" s="92"/>
      <c r="C336" s="93"/>
      <c r="D336" s="94"/>
      <c r="E336" s="94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1"/>
    </row>
    <row r="337" spans="1:26" ht="14.4" x14ac:dyDescent="0.25">
      <c r="A337" s="92"/>
      <c r="B337" s="92"/>
      <c r="C337" s="93"/>
      <c r="D337" s="94"/>
      <c r="E337" s="94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1"/>
    </row>
    <row r="338" spans="1:26" ht="14.4" x14ac:dyDescent="0.25">
      <c r="A338" s="92"/>
      <c r="B338" s="92"/>
      <c r="C338" s="93"/>
      <c r="D338" s="94"/>
      <c r="E338" s="94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1"/>
    </row>
    <row r="339" spans="1:26" ht="14.4" x14ac:dyDescent="0.25">
      <c r="A339" s="92"/>
      <c r="B339" s="92"/>
      <c r="C339" s="93"/>
      <c r="D339" s="94"/>
      <c r="E339" s="94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1"/>
    </row>
    <row r="340" spans="1:26" ht="14.4" x14ac:dyDescent="0.25">
      <c r="A340" s="92"/>
      <c r="B340" s="92"/>
      <c r="C340" s="93"/>
      <c r="D340" s="94"/>
      <c r="E340" s="94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1"/>
    </row>
    <row r="341" spans="1:26" ht="14.4" x14ac:dyDescent="0.25">
      <c r="A341" s="92"/>
      <c r="B341" s="92"/>
      <c r="C341" s="93"/>
      <c r="D341" s="94"/>
      <c r="E341" s="94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1"/>
    </row>
    <row r="342" spans="1:26" ht="14.4" x14ac:dyDescent="0.25">
      <c r="A342" s="92"/>
      <c r="B342" s="92"/>
      <c r="C342" s="93"/>
      <c r="D342" s="94"/>
      <c r="E342" s="94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1"/>
    </row>
    <row r="343" spans="1:26" ht="14.4" x14ac:dyDescent="0.25">
      <c r="A343" s="92"/>
      <c r="B343" s="92"/>
      <c r="C343" s="93"/>
      <c r="D343" s="94"/>
      <c r="E343" s="94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1"/>
    </row>
    <row r="344" spans="1:26" ht="14.4" x14ac:dyDescent="0.25">
      <c r="A344" s="92"/>
      <c r="B344" s="92"/>
      <c r="C344" s="93"/>
      <c r="D344" s="94"/>
      <c r="E344" s="94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1"/>
    </row>
    <row r="345" spans="1:26" ht="14.4" x14ac:dyDescent="0.25">
      <c r="A345" s="92"/>
      <c r="B345" s="92"/>
      <c r="C345" s="93"/>
      <c r="D345" s="94"/>
      <c r="E345" s="94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1"/>
    </row>
    <row r="346" spans="1:26" ht="14.4" x14ac:dyDescent="0.25">
      <c r="A346" s="92"/>
      <c r="B346" s="92"/>
      <c r="C346" s="93"/>
      <c r="D346" s="94"/>
      <c r="E346" s="94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1"/>
    </row>
    <row r="347" spans="1:26" ht="14.4" x14ac:dyDescent="0.25">
      <c r="A347" s="92"/>
      <c r="B347" s="92"/>
      <c r="C347" s="93"/>
      <c r="D347" s="94"/>
      <c r="E347" s="94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1"/>
    </row>
    <row r="348" spans="1:26" ht="14.4" x14ac:dyDescent="0.25">
      <c r="A348" s="92"/>
      <c r="B348" s="92"/>
      <c r="C348" s="93"/>
      <c r="D348" s="94"/>
      <c r="E348" s="94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1"/>
    </row>
    <row r="349" spans="1:26" ht="14.4" x14ac:dyDescent="0.25">
      <c r="A349" s="92"/>
      <c r="B349" s="92"/>
      <c r="C349" s="93"/>
      <c r="D349" s="94"/>
      <c r="E349" s="94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1"/>
    </row>
    <row r="350" spans="1:26" ht="14.4" x14ac:dyDescent="0.25">
      <c r="A350" s="92"/>
      <c r="B350" s="92"/>
      <c r="C350" s="93"/>
      <c r="D350" s="94"/>
      <c r="E350" s="94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1"/>
    </row>
    <row r="351" spans="1:26" ht="14.4" x14ac:dyDescent="0.25">
      <c r="A351" s="92"/>
      <c r="B351" s="92"/>
      <c r="C351" s="93"/>
      <c r="D351" s="94"/>
      <c r="E351" s="94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1"/>
    </row>
    <row r="352" spans="1:26" ht="14.4" x14ac:dyDescent="0.25">
      <c r="A352" s="92"/>
      <c r="B352" s="92"/>
      <c r="C352" s="93"/>
      <c r="D352" s="94"/>
      <c r="E352" s="94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1"/>
    </row>
    <row r="353" spans="1:26" ht="14.4" x14ac:dyDescent="0.25">
      <c r="A353" s="92"/>
      <c r="B353" s="92"/>
      <c r="C353" s="93"/>
      <c r="D353" s="94"/>
      <c r="E353" s="94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1"/>
    </row>
    <row r="354" spans="1:26" ht="14.4" x14ac:dyDescent="0.25">
      <c r="A354" s="92"/>
      <c r="B354" s="92"/>
      <c r="C354" s="93"/>
      <c r="D354" s="94"/>
      <c r="E354" s="94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1"/>
    </row>
    <row r="355" spans="1:26" ht="14.4" x14ac:dyDescent="0.25">
      <c r="A355" s="92"/>
      <c r="B355" s="92"/>
      <c r="C355" s="93"/>
      <c r="D355" s="94"/>
      <c r="E355" s="94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1"/>
    </row>
    <row r="356" spans="1:26" ht="14.4" x14ac:dyDescent="0.25">
      <c r="A356" s="92"/>
      <c r="B356" s="92"/>
      <c r="C356" s="93"/>
      <c r="D356" s="94"/>
      <c r="E356" s="94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1"/>
    </row>
    <row r="357" spans="1:26" ht="14.4" x14ac:dyDescent="0.25">
      <c r="A357" s="92"/>
      <c r="B357" s="92"/>
      <c r="C357" s="93"/>
      <c r="D357" s="94"/>
      <c r="E357" s="94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1"/>
    </row>
    <row r="358" spans="1:26" ht="14.4" x14ac:dyDescent="0.25">
      <c r="A358" s="92"/>
      <c r="B358" s="92"/>
      <c r="C358" s="93"/>
      <c r="D358" s="94"/>
      <c r="E358" s="94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1"/>
    </row>
    <row r="359" spans="1:26" ht="14.4" x14ac:dyDescent="0.25">
      <c r="A359" s="92"/>
      <c r="B359" s="92"/>
      <c r="C359" s="93"/>
      <c r="D359" s="94"/>
      <c r="E359" s="94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1"/>
    </row>
    <row r="360" spans="1:26" ht="14.4" x14ac:dyDescent="0.25">
      <c r="A360" s="92"/>
      <c r="B360" s="92"/>
      <c r="C360" s="93"/>
      <c r="D360" s="94"/>
      <c r="E360" s="94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1"/>
    </row>
    <row r="361" spans="1:26" ht="14.4" x14ac:dyDescent="0.25">
      <c r="A361" s="92"/>
      <c r="B361" s="92"/>
      <c r="C361" s="93"/>
      <c r="D361" s="94"/>
      <c r="E361" s="94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1"/>
    </row>
    <row r="362" spans="1:26" ht="14.4" x14ac:dyDescent="0.25">
      <c r="A362" s="92"/>
      <c r="B362" s="92"/>
      <c r="C362" s="93"/>
      <c r="D362" s="94"/>
      <c r="E362" s="94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1"/>
    </row>
    <row r="363" spans="1:26" ht="14.4" x14ac:dyDescent="0.25">
      <c r="A363" s="92"/>
      <c r="B363" s="92"/>
      <c r="C363" s="93"/>
      <c r="D363" s="94"/>
      <c r="E363" s="94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1"/>
    </row>
    <row r="364" spans="1:26" ht="14.4" x14ac:dyDescent="0.25">
      <c r="A364" s="92"/>
      <c r="B364" s="92"/>
      <c r="C364" s="93"/>
      <c r="D364" s="94"/>
      <c r="E364" s="94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1"/>
    </row>
    <row r="365" spans="1:26" ht="14.4" x14ac:dyDescent="0.25">
      <c r="A365" s="92"/>
      <c r="B365" s="92"/>
      <c r="C365" s="93"/>
      <c r="D365" s="94"/>
      <c r="E365" s="94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1"/>
    </row>
    <row r="366" spans="1:26" ht="14.4" x14ac:dyDescent="0.25">
      <c r="A366" s="92"/>
      <c r="B366" s="92"/>
      <c r="C366" s="93"/>
      <c r="D366" s="94"/>
      <c r="E366" s="94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1"/>
    </row>
    <row r="367" spans="1:26" ht="14.4" x14ac:dyDescent="0.25">
      <c r="A367" s="92"/>
      <c r="B367" s="92"/>
      <c r="C367" s="93"/>
      <c r="D367" s="94"/>
      <c r="E367" s="94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1"/>
    </row>
    <row r="368" spans="1:26" ht="14.4" x14ac:dyDescent="0.25">
      <c r="A368" s="92"/>
      <c r="B368" s="92"/>
      <c r="C368" s="93"/>
      <c r="D368" s="94"/>
      <c r="E368" s="94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1"/>
    </row>
    <row r="369" spans="1:26" ht="14.4" x14ac:dyDescent="0.25">
      <c r="A369" s="92"/>
      <c r="B369" s="92"/>
      <c r="C369" s="93"/>
      <c r="D369" s="94"/>
      <c r="E369" s="94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1"/>
    </row>
    <row r="370" spans="1:26" ht="14.4" x14ac:dyDescent="0.25">
      <c r="A370" s="92"/>
      <c r="B370" s="92"/>
      <c r="C370" s="93"/>
      <c r="D370" s="94"/>
      <c r="E370" s="94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1"/>
    </row>
    <row r="371" spans="1:26" ht="14.4" x14ac:dyDescent="0.25">
      <c r="A371" s="92"/>
      <c r="B371" s="92"/>
      <c r="C371" s="93"/>
      <c r="D371" s="94"/>
      <c r="E371" s="94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1"/>
    </row>
    <row r="372" spans="1:26" ht="14.4" x14ac:dyDescent="0.25">
      <c r="A372" s="92"/>
      <c r="B372" s="92"/>
      <c r="C372" s="93"/>
      <c r="D372" s="94"/>
      <c r="E372" s="94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1"/>
    </row>
    <row r="373" spans="1:26" ht="14.4" x14ac:dyDescent="0.25">
      <c r="A373" s="92"/>
      <c r="B373" s="92"/>
      <c r="C373" s="93"/>
      <c r="D373" s="94"/>
      <c r="E373" s="94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1"/>
    </row>
    <row r="374" spans="1:26" ht="14.4" x14ac:dyDescent="0.25">
      <c r="A374" s="92"/>
      <c r="B374" s="92"/>
      <c r="C374" s="93"/>
      <c r="D374" s="94"/>
      <c r="E374" s="94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1"/>
    </row>
    <row r="375" spans="1:26" ht="14.4" x14ac:dyDescent="0.25">
      <c r="A375" s="92"/>
      <c r="B375" s="92"/>
      <c r="C375" s="93"/>
      <c r="D375" s="94"/>
      <c r="E375" s="94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1"/>
    </row>
    <row r="376" spans="1:26" ht="14.4" x14ac:dyDescent="0.25">
      <c r="A376" s="92"/>
      <c r="B376" s="92"/>
      <c r="C376" s="93"/>
      <c r="D376" s="94"/>
      <c r="E376" s="94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1"/>
    </row>
    <row r="377" spans="1:26" ht="14.4" x14ac:dyDescent="0.25">
      <c r="A377" s="92"/>
      <c r="B377" s="92"/>
      <c r="C377" s="93"/>
      <c r="D377" s="94"/>
      <c r="E377" s="94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1"/>
    </row>
    <row r="378" spans="1:26" ht="14.4" x14ac:dyDescent="0.25">
      <c r="A378" s="92"/>
      <c r="B378" s="92"/>
      <c r="C378" s="93"/>
      <c r="D378" s="94"/>
      <c r="E378" s="94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1"/>
    </row>
    <row r="379" spans="1:26" ht="14.4" x14ac:dyDescent="0.25">
      <c r="A379" s="92"/>
      <c r="B379" s="92"/>
      <c r="C379" s="93"/>
      <c r="D379" s="94"/>
      <c r="E379" s="94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1"/>
    </row>
    <row r="380" spans="1:26" ht="14.4" x14ac:dyDescent="0.25">
      <c r="A380" s="92"/>
      <c r="B380" s="92"/>
      <c r="C380" s="93"/>
      <c r="D380" s="94"/>
      <c r="E380" s="94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1"/>
    </row>
    <row r="381" spans="1:26" ht="14.4" x14ac:dyDescent="0.25">
      <c r="A381" s="92"/>
      <c r="B381" s="92"/>
      <c r="C381" s="93"/>
      <c r="D381" s="94"/>
      <c r="E381" s="94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1"/>
    </row>
    <row r="382" spans="1:26" ht="14.4" x14ac:dyDescent="0.25">
      <c r="A382" s="92"/>
      <c r="B382" s="92"/>
      <c r="C382" s="93"/>
      <c r="D382" s="94"/>
      <c r="E382" s="94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1"/>
    </row>
    <row r="383" spans="1:26" ht="14.4" x14ac:dyDescent="0.25">
      <c r="A383" s="92"/>
      <c r="B383" s="92"/>
      <c r="C383" s="93"/>
      <c r="D383" s="94"/>
      <c r="E383" s="94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1"/>
    </row>
    <row r="384" spans="1:26" ht="14.4" x14ac:dyDescent="0.25">
      <c r="A384" s="92"/>
      <c r="B384" s="92"/>
      <c r="C384" s="93"/>
      <c r="D384" s="94"/>
      <c r="E384" s="94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1"/>
    </row>
    <row r="385" spans="1:26" ht="14.4" x14ac:dyDescent="0.25">
      <c r="A385" s="92"/>
      <c r="B385" s="92"/>
      <c r="C385" s="93"/>
      <c r="D385" s="94"/>
      <c r="E385" s="94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1"/>
    </row>
    <row r="386" spans="1:26" ht="14.4" x14ac:dyDescent="0.25">
      <c r="A386" s="92"/>
      <c r="B386" s="92"/>
      <c r="C386" s="93"/>
      <c r="D386" s="94"/>
      <c r="E386" s="94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1"/>
    </row>
    <row r="387" spans="1:26" ht="14.4" x14ac:dyDescent="0.25">
      <c r="A387" s="92"/>
      <c r="B387" s="92"/>
      <c r="C387" s="93"/>
      <c r="D387" s="94"/>
      <c r="E387" s="94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1"/>
    </row>
    <row r="388" spans="1:26" ht="14.4" x14ac:dyDescent="0.25">
      <c r="A388" s="92"/>
      <c r="B388" s="92"/>
      <c r="C388" s="93"/>
      <c r="D388" s="94"/>
      <c r="E388" s="94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1"/>
    </row>
    <row r="389" spans="1:26" ht="14.4" x14ac:dyDescent="0.25">
      <c r="A389" s="92"/>
      <c r="B389" s="92"/>
      <c r="C389" s="93"/>
      <c r="D389" s="94"/>
      <c r="E389" s="94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1"/>
    </row>
    <row r="390" spans="1:26" ht="14.4" x14ac:dyDescent="0.25">
      <c r="A390" s="92"/>
      <c r="B390" s="92"/>
      <c r="C390" s="93"/>
      <c r="D390" s="94"/>
      <c r="E390" s="94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1"/>
    </row>
    <row r="391" spans="1:26" ht="14.4" x14ac:dyDescent="0.25">
      <c r="A391" s="92"/>
      <c r="B391" s="92"/>
      <c r="C391" s="93"/>
      <c r="D391" s="94"/>
      <c r="E391" s="94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1"/>
    </row>
    <row r="392" spans="1:26" ht="14.4" x14ac:dyDescent="0.25">
      <c r="A392" s="92"/>
      <c r="B392" s="92"/>
      <c r="C392" s="93"/>
      <c r="D392" s="94"/>
      <c r="E392" s="94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1"/>
    </row>
    <row r="393" spans="1:26" ht="14.4" x14ac:dyDescent="0.25">
      <c r="A393" s="92"/>
      <c r="B393" s="92"/>
      <c r="C393" s="93"/>
      <c r="D393" s="94"/>
      <c r="E393" s="94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1"/>
    </row>
    <row r="394" spans="1:26" ht="14.4" x14ac:dyDescent="0.25">
      <c r="A394" s="92"/>
      <c r="B394" s="92"/>
      <c r="C394" s="93"/>
      <c r="D394" s="94"/>
      <c r="E394" s="94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1"/>
    </row>
    <row r="395" spans="1:26" ht="14.4" x14ac:dyDescent="0.25">
      <c r="A395" s="92"/>
      <c r="B395" s="92"/>
      <c r="C395" s="93"/>
      <c r="D395" s="94"/>
      <c r="E395" s="94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1"/>
    </row>
    <row r="396" spans="1:26" ht="14.4" x14ac:dyDescent="0.25">
      <c r="A396" s="92"/>
      <c r="B396" s="92"/>
      <c r="C396" s="93"/>
      <c r="D396" s="94"/>
      <c r="E396" s="94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1"/>
    </row>
    <row r="397" spans="1:26" ht="14.4" x14ac:dyDescent="0.25">
      <c r="A397" s="92"/>
      <c r="B397" s="92"/>
      <c r="C397" s="93"/>
      <c r="D397" s="94"/>
      <c r="E397" s="94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1"/>
    </row>
    <row r="398" spans="1:26" ht="14.4" x14ac:dyDescent="0.25">
      <c r="A398" s="92"/>
      <c r="B398" s="92"/>
      <c r="C398" s="93"/>
      <c r="D398" s="94"/>
      <c r="E398" s="94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1"/>
    </row>
    <row r="399" spans="1:26" ht="14.4" x14ac:dyDescent="0.25">
      <c r="A399" s="92"/>
      <c r="B399" s="92"/>
      <c r="C399" s="93"/>
      <c r="D399" s="94"/>
      <c r="E399" s="94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1"/>
    </row>
    <row r="400" spans="1:26" ht="14.4" x14ac:dyDescent="0.25">
      <c r="A400" s="92"/>
      <c r="B400" s="92"/>
      <c r="C400" s="93"/>
      <c r="D400" s="94"/>
      <c r="E400" s="94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1"/>
    </row>
    <row r="401" spans="1:26" ht="14.4" x14ac:dyDescent="0.25">
      <c r="A401" s="92"/>
      <c r="B401" s="92"/>
      <c r="C401" s="93"/>
      <c r="D401" s="94"/>
      <c r="E401" s="94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1"/>
    </row>
    <row r="402" spans="1:26" ht="14.4" x14ac:dyDescent="0.25">
      <c r="A402" s="92"/>
      <c r="B402" s="92"/>
      <c r="C402" s="93"/>
      <c r="D402" s="94"/>
      <c r="E402" s="94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1"/>
    </row>
    <row r="403" spans="1:26" ht="14.4" x14ac:dyDescent="0.25">
      <c r="A403" s="92"/>
      <c r="B403" s="92"/>
      <c r="C403" s="93"/>
      <c r="D403" s="94"/>
      <c r="E403" s="94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1"/>
    </row>
    <row r="404" spans="1:26" ht="14.4" x14ac:dyDescent="0.25">
      <c r="A404" s="92"/>
      <c r="B404" s="92"/>
      <c r="C404" s="93"/>
      <c r="D404" s="94"/>
      <c r="E404" s="94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1"/>
    </row>
    <row r="405" spans="1:26" ht="14.4" x14ac:dyDescent="0.25">
      <c r="A405" s="92"/>
      <c r="B405" s="92"/>
      <c r="C405" s="93"/>
      <c r="D405" s="94"/>
      <c r="E405" s="94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1"/>
    </row>
    <row r="406" spans="1:26" ht="14.4" x14ac:dyDescent="0.25">
      <c r="A406" s="92"/>
      <c r="B406" s="92"/>
      <c r="C406" s="93"/>
      <c r="D406" s="94"/>
      <c r="E406" s="94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1"/>
    </row>
    <row r="407" spans="1:26" ht="14.4" x14ac:dyDescent="0.25">
      <c r="A407" s="92"/>
      <c r="B407" s="92"/>
      <c r="C407" s="93"/>
      <c r="D407" s="94"/>
      <c r="E407" s="94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1"/>
    </row>
    <row r="408" spans="1:26" ht="14.4" x14ac:dyDescent="0.25">
      <c r="A408" s="92"/>
      <c r="B408" s="92"/>
      <c r="C408" s="93"/>
      <c r="D408" s="94"/>
      <c r="E408" s="94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1"/>
    </row>
    <row r="409" spans="1:26" ht="14.4" x14ac:dyDescent="0.25">
      <c r="A409" s="92"/>
      <c r="B409" s="92"/>
      <c r="C409" s="93"/>
      <c r="D409" s="94"/>
      <c r="E409" s="94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1"/>
    </row>
    <row r="410" spans="1:26" ht="14.4" x14ac:dyDescent="0.25">
      <c r="A410" s="92"/>
      <c r="B410" s="92"/>
      <c r="C410" s="93"/>
      <c r="D410" s="94"/>
      <c r="E410" s="94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1"/>
    </row>
    <row r="411" spans="1:26" ht="14.4" x14ac:dyDescent="0.25">
      <c r="A411" s="92"/>
      <c r="B411" s="92"/>
      <c r="C411" s="93"/>
      <c r="D411" s="94"/>
      <c r="E411" s="94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1"/>
    </row>
    <row r="412" spans="1:26" ht="14.4" x14ac:dyDescent="0.25">
      <c r="A412" s="92"/>
      <c r="B412" s="92"/>
      <c r="C412" s="93"/>
      <c r="D412" s="94"/>
      <c r="E412" s="94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1"/>
    </row>
    <row r="413" spans="1:26" ht="14.4" x14ac:dyDescent="0.25">
      <c r="A413" s="92"/>
      <c r="B413" s="92"/>
      <c r="C413" s="93"/>
      <c r="D413" s="94"/>
      <c r="E413" s="94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1"/>
    </row>
    <row r="414" spans="1:26" ht="14.4" x14ac:dyDescent="0.25">
      <c r="A414" s="92"/>
      <c r="B414" s="92"/>
      <c r="C414" s="93"/>
      <c r="D414" s="94"/>
      <c r="E414" s="94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1"/>
    </row>
    <row r="415" spans="1:26" ht="14.4" x14ac:dyDescent="0.25">
      <c r="A415" s="92"/>
      <c r="B415" s="92"/>
      <c r="C415" s="93"/>
      <c r="D415" s="94"/>
      <c r="E415" s="94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1"/>
    </row>
    <row r="416" spans="1:26" ht="14.4" x14ac:dyDescent="0.25">
      <c r="A416" s="92"/>
      <c r="B416" s="92"/>
      <c r="C416" s="93"/>
      <c r="D416" s="94"/>
      <c r="E416" s="94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1"/>
    </row>
    <row r="417" spans="1:26" ht="14.4" x14ac:dyDescent="0.25">
      <c r="A417" s="92"/>
      <c r="B417" s="92"/>
      <c r="C417" s="93"/>
      <c r="D417" s="94"/>
      <c r="E417" s="94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90"/>
      <c r="Q417" s="90"/>
      <c r="R417" s="90"/>
      <c r="S417" s="90"/>
      <c r="T417" s="90"/>
      <c r="U417" s="90"/>
      <c r="V417" s="90"/>
      <c r="W417" s="90"/>
      <c r="X417" s="90"/>
      <c r="Y417" s="90"/>
      <c r="Z417" s="91"/>
    </row>
    <row r="418" spans="1:26" ht="14.4" x14ac:dyDescent="0.25">
      <c r="A418" s="92"/>
      <c r="B418" s="92"/>
      <c r="C418" s="93"/>
      <c r="D418" s="94"/>
      <c r="E418" s="94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1"/>
    </row>
    <row r="419" spans="1:26" ht="14.4" x14ac:dyDescent="0.25">
      <c r="A419" s="92"/>
      <c r="B419" s="92"/>
      <c r="C419" s="93"/>
      <c r="D419" s="94"/>
      <c r="E419" s="94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90"/>
      <c r="Q419" s="90"/>
      <c r="R419" s="90"/>
      <c r="S419" s="90"/>
      <c r="T419" s="90"/>
      <c r="U419" s="90"/>
      <c r="V419" s="90"/>
      <c r="W419" s="90"/>
      <c r="X419" s="90"/>
      <c r="Y419" s="90"/>
      <c r="Z419" s="91"/>
    </row>
    <row r="420" spans="1:26" ht="14.4" x14ac:dyDescent="0.25">
      <c r="A420" s="92"/>
      <c r="B420" s="92"/>
      <c r="C420" s="93"/>
      <c r="D420" s="94"/>
      <c r="E420" s="94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1"/>
    </row>
    <row r="421" spans="1:26" ht="14.4" x14ac:dyDescent="0.25">
      <c r="A421" s="92"/>
      <c r="B421" s="92"/>
      <c r="C421" s="93"/>
      <c r="D421" s="94"/>
      <c r="E421" s="94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  <c r="R421" s="90"/>
      <c r="S421" s="90"/>
      <c r="T421" s="90"/>
      <c r="U421" s="90"/>
      <c r="V421" s="90"/>
      <c r="W421" s="90"/>
      <c r="X421" s="90"/>
      <c r="Y421" s="90"/>
      <c r="Z421" s="91"/>
    </row>
    <row r="422" spans="1:26" ht="14.4" x14ac:dyDescent="0.25">
      <c r="A422" s="92"/>
      <c r="B422" s="92"/>
      <c r="C422" s="93"/>
      <c r="D422" s="94"/>
      <c r="E422" s="94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  <c r="R422" s="90"/>
      <c r="S422" s="90"/>
      <c r="T422" s="90"/>
      <c r="U422" s="90"/>
      <c r="V422" s="90"/>
      <c r="W422" s="90"/>
      <c r="X422" s="90"/>
      <c r="Y422" s="90"/>
      <c r="Z422" s="91"/>
    </row>
    <row r="423" spans="1:26" ht="14.4" x14ac:dyDescent="0.25">
      <c r="A423" s="92"/>
      <c r="B423" s="92"/>
      <c r="C423" s="93"/>
      <c r="D423" s="94"/>
      <c r="E423" s="94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1"/>
    </row>
    <row r="424" spans="1:26" ht="14.4" x14ac:dyDescent="0.25">
      <c r="A424" s="92"/>
      <c r="B424" s="92"/>
      <c r="C424" s="93"/>
      <c r="D424" s="94"/>
      <c r="E424" s="94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1"/>
    </row>
    <row r="425" spans="1:26" ht="14.4" x14ac:dyDescent="0.25">
      <c r="A425" s="92"/>
      <c r="B425" s="92"/>
      <c r="C425" s="93"/>
      <c r="D425" s="94"/>
      <c r="E425" s="94"/>
      <c r="F425" s="90"/>
      <c r="G425" s="90"/>
      <c r="H425" s="90"/>
      <c r="I425" s="90"/>
      <c r="J425" s="90"/>
      <c r="K425" s="90"/>
      <c r="L425" s="90"/>
      <c r="M425" s="90"/>
      <c r="N425" s="90"/>
      <c r="O425" s="90"/>
      <c r="P425" s="90"/>
      <c r="Q425" s="90"/>
      <c r="R425" s="90"/>
      <c r="S425" s="90"/>
      <c r="T425" s="90"/>
      <c r="U425" s="90"/>
      <c r="V425" s="90"/>
      <c r="W425" s="90"/>
      <c r="X425" s="90"/>
      <c r="Y425" s="90"/>
      <c r="Z425" s="91"/>
    </row>
    <row r="426" spans="1:26" ht="14.4" x14ac:dyDescent="0.25">
      <c r="A426" s="92"/>
      <c r="B426" s="92"/>
      <c r="C426" s="93"/>
      <c r="D426" s="94"/>
      <c r="E426" s="94"/>
      <c r="F426" s="90"/>
      <c r="G426" s="90"/>
      <c r="H426" s="90"/>
      <c r="I426" s="90"/>
      <c r="J426" s="90"/>
      <c r="K426" s="90"/>
      <c r="L426" s="90"/>
      <c r="M426" s="90"/>
      <c r="N426" s="90"/>
      <c r="O426" s="90"/>
      <c r="P426" s="90"/>
      <c r="Q426" s="90"/>
      <c r="R426" s="90"/>
      <c r="S426" s="90"/>
      <c r="T426" s="90"/>
      <c r="U426" s="90"/>
      <c r="V426" s="90"/>
      <c r="W426" s="90"/>
      <c r="X426" s="90"/>
      <c r="Y426" s="90"/>
      <c r="Z426" s="91"/>
    </row>
    <row r="427" spans="1:26" ht="14.4" x14ac:dyDescent="0.25">
      <c r="A427" s="92"/>
      <c r="B427" s="92"/>
      <c r="C427" s="93"/>
      <c r="D427" s="94"/>
      <c r="E427" s="94"/>
      <c r="F427" s="90"/>
      <c r="G427" s="90"/>
      <c r="H427" s="90"/>
      <c r="I427" s="90"/>
      <c r="J427" s="90"/>
      <c r="K427" s="90"/>
      <c r="L427" s="90"/>
      <c r="M427" s="90"/>
      <c r="N427" s="90"/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1"/>
    </row>
    <row r="428" spans="1:26" ht="14.4" x14ac:dyDescent="0.25">
      <c r="A428" s="92"/>
      <c r="B428" s="92"/>
      <c r="C428" s="93"/>
      <c r="D428" s="94"/>
      <c r="E428" s="94"/>
      <c r="F428" s="90"/>
      <c r="G428" s="90"/>
      <c r="H428" s="90"/>
      <c r="I428" s="90"/>
      <c r="J428" s="90"/>
      <c r="K428" s="90"/>
      <c r="L428" s="90"/>
      <c r="M428" s="90"/>
      <c r="N428" s="90"/>
      <c r="O428" s="90"/>
      <c r="P428" s="90"/>
      <c r="Q428" s="90"/>
      <c r="R428" s="90"/>
      <c r="S428" s="90"/>
      <c r="T428" s="90"/>
      <c r="U428" s="90"/>
      <c r="V428" s="90"/>
      <c r="W428" s="90"/>
      <c r="X428" s="90"/>
      <c r="Y428" s="90"/>
      <c r="Z428" s="91"/>
    </row>
    <row r="429" spans="1:26" ht="14.4" x14ac:dyDescent="0.25">
      <c r="A429" s="92"/>
      <c r="B429" s="92"/>
      <c r="C429" s="93"/>
      <c r="D429" s="94"/>
      <c r="E429" s="94"/>
      <c r="F429" s="90"/>
      <c r="G429" s="90"/>
      <c r="H429" s="90"/>
      <c r="I429" s="90"/>
      <c r="J429" s="90"/>
      <c r="K429" s="90"/>
      <c r="L429" s="90"/>
      <c r="M429" s="90"/>
      <c r="N429" s="90"/>
      <c r="O429" s="90"/>
      <c r="P429" s="90"/>
      <c r="Q429" s="90"/>
      <c r="R429" s="90"/>
      <c r="S429" s="90"/>
      <c r="T429" s="90"/>
      <c r="U429" s="90"/>
      <c r="V429" s="90"/>
      <c r="W429" s="90"/>
      <c r="X429" s="90"/>
      <c r="Y429" s="90"/>
      <c r="Z429" s="91"/>
    </row>
    <row r="430" spans="1:26" ht="14.4" x14ac:dyDescent="0.25">
      <c r="A430" s="92"/>
      <c r="B430" s="92"/>
      <c r="C430" s="93"/>
      <c r="D430" s="94"/>
      <c r="E430" s="94"/>
      <c r="F430" s="90"/>
      <c r="G430" s="90"/>
      <c r="H430" s="90"/>
      <c r="I430" s="90"/>
      <c r="J430" s="90"/>
      <c r="K430" s="90"/>
      <c r="L430" s="90"/>
      <c r="M430" s="90"/>
      <c r="N430" s="90"/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1"/>
    </row>
    <row r="431" spans="1:26" ht="14.4" x14ac:dyDescent="0.25">
      <c r="A431" s="92"/>
      <c r="B431" s="92"/>
      <c r="C431" s="93"/>
      <c r="D431" s="94"/>
      <c r="E431" s="94"/>
      <c r="F431" s="90"/>
      <c r="G431" s="90"/>
      <c r="H431" s="90"/>
      <c r="I431" s="90"/>
      <c r="J431" s="90"/>
      <c r="K431" s="90"/>
      <c r="L431" s="90"/>
      <c r="M431" s="90"/>
      <c r="N431" s="90"/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1"/>
    </row>
    <row r="432" spans="1:26" ht="14.4" x14ac:dyDescent="0.25">
      <c r="A432" s="92"/>
      <c r="B432" s="92"/>
      <c r="C432" s="93"/>
      <c r="D432" s="94"/>
      <c r="E432" s="94"/>
      <c r="F432" s="90"/>
      <c r="G432" s="90"/>
      <c r="H432" s="90"/>
      <c r="I432" s="90"/>
      <c r="J432" s="90"/>
      <c r="K432" s="90"/>
      <c r="L432" s="90"/>
      <c r="M432" s="90"/>
      <c r="N432" s="90"/>
      <c r="O432" s="90"/>
      <c r="P432" s="90"/>
      <c r="Q432" s="90"/>
      <c r="R432" s="90"/>
      <c r="S432" s="90"/>
      <c r="T432" s="90"/>
      <c r="U432" s="90"/>
      <c r="V432" s="90"/>
      <c r="W432" s="90"/>
      <c r="X432" s="90"/>
      <c r="Y432" s="90"/>
      <c r="Z432" s="91"/>
    </row>
    <row r="433" spans="1:26" ht="14.4" x14ac:dyDescent="0.25">
      <c r="A433" s="92"/>
      <c r="B433" s="92"/>
      <c r="C433" s="93"/>
      <c r="D433" s="94"/>
      <c r="E433" s="94"/>
      <c r="F433" s="90"/>
      <c r="G433" s="90"/>
      <c r="H433" s="90"/>
      <c r="I433" s="90"/>
      <c r="J433" s="90"/>
      <c r="K433" s="90"/>
      <c r="L433" s="90"/>
      <c r="M433" s="90"/>
      <c r="N433" s="90"/>
      <c r="O433" s="90"/>
      <c r="P433" s="90"/>
      <c r="Q433" s="90"/>
      <c r="R433" s="90"/>
      <c r="S433" s="90"/>
      <c r="T433" s="90"/>
      <c r="U433" s="90"/>
      <c r="V433" s="90"/>
      <c r="W433" s="90"/>
      <c r="X433" s="90"/>
      <c r="Y433" s="90"/>
      <c r="Z433" s="91"/>
    </row>
    <row r="434" spans="1:26" ht="14.4" x14ac:dyDescent="0.25">
      <c r="A434" s="92"/>
      <c r="B434" s="92"/>
      <c r="C434" s="93"/>
      <c r="D434" s="94"/>
      <c r="E434" s="94"/>
      <c r="F434" s="90"/>
      <c r="G434" s="90"/>
      <c r="H434" s="90"/>
      <c r="I434" s="90"/>
      <c r="J434" s="90"/>
      <c r="K434" s="90"/>
      <c r="L434" s="90"/>
      <c r="M434" s="90"/>
      <c r="N434" s="90"/>
      <c r="O434" s="90"/>
      <c r="P434" s="90"/>
      <c r="Q434" s="90"/>
      <c r="R434" s="90"/>
      <c r="S434" s="90"/>
      <c r="T434" s="90"/>
      <c r="U434" s="90"/>
      <c r="V434" s="90"/>
      <c r="W434" s="90"/>
      <c r="X434" s="90"/>
      <c r="Y434" s="90"/>
      <c r="Z434" s="91"/>
    </row>
    <row r="435" spans="1:26" ht="14.4" x14ac:dyDescent="0.25">
      <c r="A435" s="92"/>
      <c r="B435" s="92"/>
      <c r="C435" s="93"/>
      <c r="D435" s="94"/>
      <c r="E435" s="94"/>
      <c r="F435" s="90"/>
      <c r="G435" s="90"/>
      <c r="H435" s="90"/>
      <c r="I435" s="90"/>
      <c r="J435" s="90"/>
      <c r="K435" s="90"/>
      <c r="L435" s="90"/>
      <c r="M435" s="90"/>
      <c r="N435" s="90"/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1"/>
    </row>
    <row r="436" spans="1:26" ht="14.4" x14ac:dyDescent="0.25">
      <c r="A436" s="92"/>
      <c r="B436" s="92"/>
      <c r="C436" s="93"/>
      <c r="D436" s="94"/>
      <c r="E436" s="94"/>
      <c r="F436" s="90"/>
      <c r="G436" s="90"/>
      <c r="H436" s="90"/>
      <c r="I436" s="90"/>
      <c r="J436" s="90"/>
      <c r="K436" s="90"/>
      <c r="L436" s="90"/>
      <c r="M436" s="90"/>
      <c r="N436" s="90"/>
      <c r="O436" s="90"/>
      <c r="P436" s="90"/>
      <c r="Q436" s="90"/>
      <c r="R436" s="90"/>
      <c r="S436" s="90"/>
      <c r="T436" s="90"/>
      <c r="U436" s="90"/>
      <c r="V436" s="90"/>
      <c r="W436" s="90"/>
      <c r="X436" s="90"/>
      <c r="Y436" s="90"/>
      <c r="Z436" s="91"/>
    </row>
    <row r="437" spans="1:26" ht="14.4" x14ac:dyDescent="0.25">
      <c r="A437" s="92"/>
      <c r="B437" s="92"/>
      <c r="C437" s="93"/>
      <c r="D437" s="94"/>
      <c r="E437" s="94"/>
      <c r="F437" s="90"/>
      <c r="G437" s="90"/>
      <c r="H437" s="90"/>
      <c r="I437" s="90"/>
      <c r="J437" s="90"/>
      <c r="K437" s="90"/>
      <c r="L437" s="90"/>
      <c r="M437" s="90"/>
      <c r="N437" s="90"/>
      <c r="O437" s="90"/>
      <c r="P437" s="90"/>
      <c r="Q437" s="90"/>
      <c r="R437" s="90"/>
      <c r="S437" s="90"/>
      <c r="T437" s="90"/>
      <c r="U437" s="90"/>
      <c r="V437" s="90"/>
      <c r="W437" s="90"/>
      <c r="X437" s="90"/>
      <c r="Y437" s="90"/>
      <c r="Z437" s="91"/>
    </row>
    <row r="438" spans="1:26" ht="14.4" x14ac:dyDescent="0.25">
      <c r="A438" s="92"/>
      <c r="B438" s="92"/>
      <c r="C438" s="93"/>
      <c r="D438" s="94"/>
      <c r="E438" s="94"/>
      <c r="F438" s="90"/>
      <c r="G438" s="90"/>
      <c r="H438" s="90"/>
      <c r="I438" s="90"/>
      <c r="J438" s="90"/>
      <c r="K438" s="90"/>
      <c r="L438" s="90"/>
      <c r="M438" s="90"/>
      <c r="N438" s="90"/>
      <c r="O438" s="90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1"/>
    </row>
    <row r="439" spans="1:26" ht="14.4" x14ac:dyDescent="0.25">
      <c r="A439" s="92"/>
      <c r="B439" s="92"/>
      <c r="C439" s="93"/>
      <c r="D439" s="94"/>
      <c r="E439" s="94"/>
      <c r="F439" s="90"/>
      <c r="G439" s="90"/>
      <c r="H439" s="90"/>
      <c r="I439" s="90"/>
      <c r="J439" s="90"/>
      <c r="K439" s="90"/>
      <c r="L439" s="90"/>
      <c r="M439" s="90"/>
      <c r="N439" s="90"/>
      <c r="O439" s="90"/>
      <c r="P439" s="90"/>
      <c r="Q439" s="90"/>
      <c r="R439" s="90"/>
      <c r="S439" s="90"/>
      <c r="T439" s="90"/>
      <c r="U439" s="90"/>
      <c r="V439" s="90"/>
      <c r="W439" s="90"/>
      <c r="X439" s="90"/>
      <c r="Y439" s="90"/>
      <c r="Z439" s="91"/>
    </row>
    <row r="440" spans="1:26" ht="14.4" x14ac:dyDescent="0.25">
      <c r="A440" s="92"/>
      <c r="B440" s="92"/>
      <c r="C440" s="93"/>
      <c r="D440" s="94"/>
      <c r="E440" s="94"/>
      <c r="F440" s="90"/>
      <c r="G440" s="90"/>
      <c r="H440" s="90"/>
      <c r="I440" s="90"/>
      <c r="J440" s="90"/>
      <c r="K440" s="90"/>
      <c r="L440" s="90"/>
      <c r="M440" s="90"/>
      <c r="N440" s="90"/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1"/>
    </row>
    <row r="441" spans="1:26" ht="14.4" x14ac:dyDescent="0.25">
      <c r="A441" s="92"/>
      <c r="B441" s="92"/>
      <c r="C441" s="93"/>
      <c r="D441" s="94"/>
      <c r="E441" s="94"/>
      <c r="F441" s="90"/>
      <c r="G441" s="90"/>
      <c r="H441" s="90"/>
      <c r="I441" s="90"/>
      <c r="J441" s="90"/>
      <c r="K441" s="90"/>
      <c r="L441" s="90"/>
      <c r="M441" s="90"/>
      <c r="N441" s="90"/>
      <c r="O441" s="90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1"/>
    </row>
    <row r="442" spans="1:26" ht="14.4" x14ac:dyDescent="0.25">
      <c r="A442" s="92"/>
      <c r="B442" s="92"/>
      <c r="C442" s="93"/>
      <c r="D442" s="94"/>
      <c r="E442" s="94"/>
      <c r="F442" s="90"/>
      <c r="G442" s="90"/>
      <c r="H442" s="90"/>
      <c r="I442" s="90"/>
      <c r="J442" s="90"/>
      <c r="K442" s="90"/>
      <c r="L442" s="90"/>
      <c r="M442" s="90"/>
      <c r="N442" s="90"/>
      <c r="O442" s="90"/>
      <c r="P442" s="90"/>
      <c r="Q442" s="90"/>
      <c r="R442" s="90"/>
      <c r="S442" s="90"/>
      <c r="T442" s="90"/>
      <c r="U442" s="90"/>
      <c r="V442" s="90"/>
      <c r="W442" s="90"/>
      <c r="X442" s="90"/>
      <c r="Y442" s="90"/>
      <c r="Z442" s="91"/>
    </row>
    <row r="443" spans="1:26" ht="14.4" x14ac:dyDescent="0.25">
      <c r="A443" s="92"/>
      <c r="B443" s="92"/>
      <c r="C443" s="93"/>
      <c r="D443" s="94"/>
      <c r="E443" s="94"/>
      <c r="F443" s="90"/>
      <c r="G443" s="90"/>
      <c r="H443" s="90"/>
      <c r="I443" s="90"/>
      <c r="J443" s="90"/>
      <c r="K443" s="90"/>
      <c r="L443" s="90"/>
      <c r="M443" s="90"/>
      <c r="N443" s="90"/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1"/>
    </row>
    <row r="444" spans="1:26" ht="14.4" x14ac:dyDescent="0.25">
      <c r="A444" s="92"/>
      <c r="B444" s="92"/>
      <c r="C444" s="93"/>
      <c r="D444" s="94"/>
      <c r="E444" s="94"/>
      <c r="F444" s="90"/>
      <c r="G444" s="90"/>
      <c r="H444" s="90"/>
      <c r="I444" s="90"/>
      <c r="J444" s="90"/>
      <c r="K444" s="90"/>
      <c r="L444" s="90"/>
      <c r="M444" s="90"/>
      <c r="N444" s="90"/>
      <c r="O444" s="90"/>
      <c r="P444" s="90"/>
      <c r="Q444" s="90"/>
      <c r="R444" s="90"/>
      <c r="S444" s="90"/>
      <c r="T444" s="90"/>
      <c r="U444" s="90"/>
      <c r="V444" s="90"/>
      <c r="W444" s="90"/>
      <c r="X444" s="90"/>
      <c r="Y444" s="90"/>
      <c r="Z444" s="91"/>
    </row>
    <row r="445" spans="1:26" ht="14.4" x14ac:dyDescent="0.25">
      <c r="A445" s="92"/>
      <c r="B445" s="92"/>
      <c r="C445" s="93"/>
      <c r="D445" s="94"/>
      <c r="E445" s="94"/>
      <c r="F445" s="90"/>
      <c r="G445" s="90"/>
      <c r="H445" s="90"/>
      <c r="I445" s="90"/>
      <c r="J445" s="90"/>
      <c r="K445" s="90"/>
      <c r="L445" s="90"/>
      <c r="M445" s="90"/>
      <c r="N445" s="90"/>
      <c r="O445" s="90"/>
      <c r="P445" s="90"/>
      <c r="Q445" s="90"/>
      <c r="R445" s="90"/>
      <c r="S445" s="90"/>
      <c r="T445" s="90"/>
      <c r="U445" s="90"/>
      <c r="V445" s="90"/>
      <c r="W445" s="90"/>
      <c r="X445" s="90"/>
      <c r="Y445" s="90"/>
      <c r="Z445" s="91"/>
    </row>
    <row r="446" spans="1:26" ht="14.4" x14ac:dyDescent="0.25">
      <c r="A446" s="92"/>
      <c r="B446" s="92"/>
      <c r="C446" s="93"/>
      <c r="D446" s="94"/>
      <c r="E446" s="94"/>
      <c r="F446" s="90"/>
      <c r="G446" s="90"/>
      <c r="H446" s="90"/>
      <c r="I446" s="90"/>
      <c r="J446" s="90"/>
      <c r="K446" s="90"/>
      <c r="L446" s="90"/>
      <c r="M446" s="90"/>
      <c r="N446" s="90"/>
      <c r="O446" s="90"/>
      <c r="P446" s="90"/>
      <c r="Q446" s="90"/>
      <c r="R446" s="90"/>
      <c r="S446" s="90"/>
      <c r="T446" s="90"/>
      <c r="U446" s="90"/>
      <c r="V446" s="90"/>
      <c r="W446" s="90"/>
      <c r="X446" s="90"/>
      <c r="Y446" s="90"/>
      <c r="Z446" s="91"/>
    </row>
    <row r="447" spans="1:26" ht="14.4" x14ac:dyDescent="0.25">
      <c r="A447" s="92"/>
      <c r="B447" s="92"/>
      <c r="C447" s="93"/>
      <c r="D447" s="94"/>
      <c r="E447" s="94"/>
      <c r="F447" s="90"/>
      <c r="G447" s="90"/>
      <c r="H447" s="90"/>
      <c r="I447" s="90"/>
      <c r="J447" s="90"/>
      <c r="K447" s="90"/>
      <c r="L447" s="90"/>
      <c r="M447" s="90"/>
      <c r="N447" s="90"/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1"/>
    </row>
    <row r="448" spans="1:26" ht="14.4" x14ac:dyDescent="0.25">
      <c r="A448" s="92"/>
      <c r="B448" s="92"/>
      <c r="C448" s="93"/>
      <c r="D448" s="94"/>
      <c r="E448" s="94"/>
      <c r="F448" s="90"/>
      <c r="G448" s="90"/>
      <c r="H448" s="90"/>
      <c r="I448" s="90"/>
      <c r="J448" s="90"/>
      <c r="K448" s="90"/>
      <c r="L448" s="90"/>
      <c r="M448" s="90"/>
      <c r="N448" s="90"/>
      <c r="O448" s="90"/>
      <c r="P448" s="90"/>
      <c r="Q448" s="90"/>
      <c r="R448" s="90"/>
      <c r="S448" s="90"/>
      <c r="T448" s="90"/>
      <c r="U448" s="90"/>
      <c r="V448" s="90"/>
      <c r="W448" s="90"/>
      <c r="X448" s="90"/>
      <c r="Y448" s="90"/>
      <c r="Z448" s="91"/>
    </row>
    <row r="449" spans="1:26" ht="14.4" x14ac:dyDescent="0.25">
      <c r="A449" s="92"/>
      <c r="B449" s="92"/>
      <c r="C449" s="93"/>
      <c r="D449" s="94"/>
      <c r="E449" s="94"/>
      <c r="F449" s="90"/>
      <c r="G449" s="90"/>
      <c r="H449" s="90"/>
      <c r="I449" s="90"/>
      <c r="J449" s="90"/>
      <c r="K449" s="90"/>
      <c r="L449" s="90"/>
      <c r="M449" s="90"/>
      <c r="N449" s="90"/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1"/>
    </row>
    <row r="450" spans="1:26" ht="14.4" x14ac:dyDescent="0.25">
      <c r="A450" s="92"/>
      <c r="B450" s="92"/>
      <c r="C450" s="93"/>
      <c r="D450" s="94"/>
      <c r="E450" s="94"/>
      <c r="F450" s="90"/>
      <c r="G450" s="90"/>
      <c r="H450" s="90"/>
      <c r="I450" s="90"/>
      <c r="J450" s="90"/>
      <c r="K450" s="90"/>
      <c r="L450" s="90"/>
      <c r="M450" s="90"/>
      <c r="N450" s="90"/>
      <c r="O450" s="90"/>
      <c r="P450" s="90"/>
      <c r="Q450" s="90"/>
      <c r="R450" s="90"/>
      <c r="S450" s="90"/>
      <c r="T450" s="90"/>
      <c r="U450" s="90"/>
      <c r="V450" s="90"/>
      <c r="W450" s="90"/>
      <c r="X450" s="90"/>
      <c r="Y450" s="90"/>
      <c r="Z450" s="91"/>
    </row>
    <row r="451" spans="1:26" ht="14.4" x14ac:dyDescent="0.25">
      <c r="A451" s="92"/>
      <c r="B451" s="92"/>
      <c r="C451" s="93"/>
      <c r="D451" s="94"/>
      <c r="E451" s="94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90"/>
      <c r="W451" s="90"/>
      <c r="X451" s="90"/>
      <c r="Y451" s="90"/>
      <c r="Z451" s="91"/>
    </row>
    <row r="452" spans="1:26" ht="14.4" x14ac:dyDescent="0.25">
      <c r="A452" s="92"/>
      <c r="B452" s="92"/>
      <c r="C452" s="93"/>
      <c r="D452" s="94"/>
      <c r="E452" s="94"/>
      <c r="F452" s="90"/>
      <c r="G452" s="90"/>
      <c r="H452" s="90"/>
      <c r="I452" s="90"/>
      <c r="J452" s="90"/>
      <c r="K452" s="90"/>
      <c r="L452" s="90"/>
      <c r="M452" s="90"/>
      <c r="N452" s="90"/>
      <c r="O452" s="90"/>
      <c r="P452" s="90"/>
      <c r="Q452" s="90"/>
      <c r="R452" s="90"/>
      <c r="S452" s="90"/>
      <c r="T452" s="90"/>
      <c r="U452" s="90"/>
      <c r="V452" s="90"/>
      <c r="W452" s="90"/>
      <c r="X452" s="90"/>
      <c r="Y452" s="90"/>
      <c r="Z452" s="91"/>
    </row>
    <row r="453" spans="1:26" ht="14.4" x14ac:dyDescent="0.25">
      <c r="A453" s="92"/>
      <c r="B453" s="92"/>
      <c r="C453" s="93"/>
      <c r="D453" s="94"/>
      <c r="E453" s="94"/>
      <c r="F453" s="90"/>
      <c r="G453" s="90"/>
      <c r="H453" s="90"/>
      <c r="I453" s="90"/>
      <c r="J453" s="90"/>
      <c r="K453" s="90"/>
      <c r="L453" s="90"/>
      <c r="M453" s="90"/>
      <c r="N453" s="90"/>
      <c r="O453" s="90"/>
      <c r="P453" s="90"/>
      <c r="Q453" s="90"/>
      <c r="R453" s="90"/>
      <c r="S453" s="90"/>
      <c r="T453" s="90"/>
      <c r="U453" s="90"/>
      <c r="V453" s="90"/>
      <c r="W453" s="90"/>
      <c r="X453" s="90"/>
      <c r="Y453" s="90"/>
      <c r="Z453" s="91"/>
    </row>
    <row r="454" spans="1:26" ht="14.4" x14ac:dyDescent="0.25">
      <c r="A454" s="92"/>
      <c r="B454" s="92"/>
      <c r="C454" s="93"/>
      <c r="D454" s="94"/>
      <c r="E454" s="94"/>
      <c r="F454" s="90"/>
      <c r="G454" s="90"/>
      <c r="H454" s="90"/>
      <c r="I454" s="90"/>
      <c r="J454" s="90"/>
      <c r="K454" s="90"/>
      <c r="L454" s="90"/>
      <c r="M454" s="90"/>
      <c r="N454" s="90"/>
      <c r="O454" s="90"/>
      <c r="P454" s="90"/>
      <c r="Q454" s="90"/>
      <c r="R454" s="90"/>
      <c r="S454" s="90"/>
      <c r="T454" s="90"/>
      <c r="U454" s="90"/>
      <c r="V454" s="90"/>
      <c r="W454" s="90"/>
      <c r="X454" s="90"/>
      <c r="Y454" s="90"/>
      <c r="Z454" s="91"/>
    </row>
    <row r="455" spans="1:26" ht="14.4" x14ac:dyDescent="0.25">
      <c r="A455" s="92"/>
      <c r="B455" s="92"/>
      <c r="C455" s="93"/>
      <c r="D455" s="94"/>
      <c r="E455" s="94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1"/>
    </row>
    <row r="456" spans="1:26" ht="14.4" x14ac:dyDescent="0.25">
      <c r="A456" s="92"/>
      <c r="B456" s="92"/>
      <c r="C456" s="93"/>
      <c r="D456" s="94"/>
      <c r="E456" s="94"/>
      <c r="F456" s="90"/>
      <c r="G456" s="90"/>
      <c r="H456" s="90"/>
      <c r="I456" s="90"/>
      <c r="J456" s="90"/>
      <c r="K456" s="90"/>
      <c r="L456" s="90"/>
      <c r="M456" s="90"/>
      <c r="N456" s="90"/>
      <c r="O456" s="90"/>
      <c r="P456" s="90"/>
      <c r="Q456" s="90"/>
      <c r="R456" s="90"/>
      <c r="S456" s="90"/>
      <c r="T456" s="90"/>
      <c r="U456" s="90"/>
      <c r="V456" s="90"/>
      <c r="W456" s="90"/>
      <c r="X456" s="90"/>
      <c r="Y456" s="90"/>
      <c r="Z456" s="91"/>
    </row>
    <row r="457" spans="1:26" ht="14.4" x14ac:dyDescent="0.25">
      <c r="A457" s="92"/>
      <c r="B457" s="92"/>
      <c r="C457" s="93"/>
      <c r="D457" s="94"/>
      <c r="E457" s="94"/>
      <c r="F457" s="90"/>
      <c r="G457" s="90"/>
      <c r="H457" s="90"/>
      <c r="I457" s="90"/>
      <c r="J457" s="90"/>
      <c r="K457" s="90"/>
      <c r="L457" s="90"/>
      <c r="M457" s="90"/>
      <c r="N457" s="90"/>
      <c r="O457" s="90"/>
      <c r="P457" s="90"/>
      <c r="Q457" s="90"/>
      <c r="R457" s="90"/>
      <c r="S457" s="90"/>
      <c r="T457" s="90"/>
      <c r="U457" s="90"/>
      <c r="V457" s="90"/>
      <c r="W457" s="90"/>
      <c r="X457" s="90"/>
      <c r="Y457" s="90"/>
      <c r="Z457" s="91"/>
    </row>
    <row r="458" spans="1:26" ht="14.4" x14ac:dyDescent="0.25">
      <c r="A458" s="92"/>
      <c r="B458" s="92"/>
      <c r="C458" s="93"/>
      <c r="D458" s="94"/>
      <c r="E458" s="94"/>
      <c r="F458" s="90"/>
      <c r="G458" s="90"/>
      <c r="H458" s="90"/>
      <c r="I458" s="90"/>
      <c r="J458" s="90"/>
      <c r="K458" s="90"/>
      <c r="L458" s="90"/>
      <c r="M458" s="90"/>
      <c r="N458" s="90"/>
      <c r="O458" s="90"/>
      <c r="P458" s="90"/>
      <c r="Q458" s="90"/>
      <c r="R458" s="90"/>
      <c r="S458" s="90"/>
      <c r="T458" s="90"/>
      <c r="U458" s="90"/>
      <c r="V458" s="90"/>
      <c r="W458" s="90"/>
      <c r="X458" s="90"/>
      <c r="Y458" s="90"/>
      <c r="Z458" s="91"/>
    </row>
    <row r="459" spans="1:26" ht="14.4" x14ac:dyDescent="0.25">
      <c r="A459" s="92"/>
      <c r="B459" s="92"/>
      <c r="C459" s="93"/>
      <c r="D459" s="94"/>
      <c r="E459" s="94"/>
      <c r="F459" s="90"/>
      <c r="G459" s="90"/>
      <c r="H459" s="90"/>
      <c r="I459" s="90"/>
      <c r="J459" s="90"/>
      <c r="K459" s="90"/>
      <c r="L459" s="90"/>
      <c r="M459" s="90"/>
      <c r="N459" s="90"/>
      <c r="O459" s="90"/>
      <c r="P459" s="90"/>
      <c r="Q459" s="90"/>
      <c r="R459" s="90"/>
      <c r="S459" s="90"/>
      <c r="T459" s="90"/>
      <c r="U459" s="90"/>
      <c r="V459" s="90"/>
      <c r="W459" s="90"/>
      <c r="X459" s="90"/>
      <c r="Y459" s="90"/>
      <c r="Z459" s="91"/>
    </row>
    <row r="460" spans="1:26" ht="14.4" x14ac:dyDescent="0.25">
      <c r="A460" s="92"/>
      <c r="B460" s="92"/>
      <c r="C460" s="93"/>
      <c r="D460" s="94"/>
      <c r="E460" s="94"/>
      <c r="F460" s="90"/>
      <c r="G460" s="90"/>
      <c r="H460" s="90"/>
      <c r="I460" s="90"/>
      <c r="J460" s="90"/>
      <c r="K460" s="90"/>
      <c r="L460" s="90"/>
      <c r="M460" s="90"/>
      <c r="N460" s="90"/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1"/>
    </row>
    <row r="461" spans="1:26" ht="14.4" x14ac:dyDescent="0.25">
      <c r="A461" s="92"/>
      <c r="B461" s="92"/>
      <c r="C461" s="93"/>
      <c r="D461" s="94"/>
      <c r="E461" s="94"/>
      <c r="F461" s="90"/>
      <c r="G461" s="90"/>
      <c r="H461" s="90"/>
      <c r="I461" s="90"/>
      <c r="J461" s="90"/>
      <c r="K461" s="90"/>
      <c r="L461" s="90"/>
      <c r="M461" s="90"/>
      <c r="N461" s="90"/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Z461" s="91"/>
    </row>
    <row r="462" spans="1:26" ht="14.4" x14ac:dyDescent="0.25">
      <c r="A462" s="92"/>
      <c r="B462" s="92"/>
      <c r="C462" s="93"/>
      <c r="D462" s="94"/>
      <c r="E462" s="94"/>
      <c r="F462" s="90"/>
      <c r="G462" s="90"/>
      <c r="H462" s="90"/>
      <c r="I462" s="90"/>
      <c r="J462" s="90"/>
      <c r="K462" s="90"/>
      <c r="L462" s="90"/>
      <c r="M462" s="90"/>
      <c r="N462" s="90"/>
      <c r="O462" s="90"/>
      <c r="P462" s="90"/>
      <c r="Q462" s="90"/>
      <c r="R462" s="90"/>
      <c r="S462" s="90"/>
      <c r="T462" s="90"/>
      <c r="U462" s="90"/>
      <c r="V462" s="90"/>
      <c r="W462" s="90"/>
      <c r="X462" s="90"/>
      <c r="Y462" s="90"/>
      <c r="Z462" s="91"/>
    </row>
    <row r="463" spans="1:26" ht="14.4" x14ac:dyDescent="0.25">
      <c r="A463" s="92"/>
      <c r="B463" s="92"/>
      <c r="C463" s="93"/>
      <c r="D463" s="94"/>
      <c r="E463" s="94"/>
      <c r="F463" s="90"/>
      <c r="G463" s="90"/>
      <c r="H463" s="90"/>
      <c r="I463" s="90"/>
      <c r="J463" s="90"/>
      <c r="K463" s="90"/>
      <c r="L463" s="90"/>
      <c r="M463" s="90"/>
      <c r="N463" s="90"/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1"/>
    </row>
    <row r="464" spans="1:26" ht="14.4" x14ac:dyDescent="0.25">
      <c r="A464" s="92"/>
      <c r="B464" s="92"/>
      <c r="C464" s="93"/>
      <c r="D464" s="94"/>
      <c r="E464" s="94"/>
      <c r="F464" s="90"/>
      <c r="G464" s="90"/>
      <c r="H464" s="90"/>
      <c r="I464" s="90"/>
      <c r="J464" s="90"/>
      <c r="K464" s="90"/>
      <c r="L464" s="90"/>
      <c r="M464" s="90"/>
      <c r="N464" s="90"/>
      <c r="O464" s="90"/>
      <c r="P464" s="90"/>
      <c r="Q464" s="90"/>
      <c r="R464" s="90"/>
      <c r="S464" s="90"/>
      <c r="T464" s="90"/>
      <c r="U464" s="90"/>
      <c r="V464" s="90"/>
      <c r="W464" s="90"/>
      <c r="X464" s="90"/>
      <c r="Y464" s="90"/>
      <c r="Z464" s="91"/>
    </row>
    <row r="465" spans="1:26" ht="14.4" x14ac:dyDescent="0.25">
      <c r="A465" s="92"/>
      <c r="B465" s="92"/>
      <c r="C465" s="93"/>
      <c r="D465" s="94"/>
      <c r="E465" s="94"/>
      <c r="F465" s="90"/>
      <c r="G465" s="90"/>
      <c r="H465" s="90"/>
      <c r="I465" s="90"/>
      <c r="J465" s="90"/>
      <c r="K465" s="90"/>
      <c r="L465" s="90"/>
      <c r="M465" s="90"/>
      <c r="N465" s="90"/>
      <c r="O465" s="90"/>
      <c r="P465" s="90"/>
      <c r="Q465" s="90"/>
      <c r="R465" s="90"/>
      <c r="S465" s="90"/>
      <c r="T465" s="90"/>
      <c r="U465" s="90"/>
      <c r="V465" s="90"/>
      <c r="W465" s="90"/>
      <c r="X465" s="90"/>
      <c r="Y465" s="90"/>
      <c r="Z465" s="91"/>
    </row>
    <row r="466" spans="1:26" ht="14.4" x14ac:dyDescent="0.25">
      <c r="A466" s="92"/>
      <c r="B466" s="92"/>
      <c r="C466" s="93"/>
      <c r="D466" s="94"/>
      <c r="E466" s="94"/>
      <c r="F466" s="90"/>
      <c r="G466" s="90"/>
      <c r="H466" s="90"/>
      <c r="I466" s="90"/>
      <c r="J466" s="90"/>
      <c r="K466" s="90"/>
      <c r="L466" s="90"/>
      <c r="M466" s="90"/>
      <c r="N466" s="90"/>
      <c r="O466" s="90"/>
      <c r="P466" s="90"/>
      <c r="Q466" s="90"/>
      <c r="R466" s="90"/>
      <c r="S466" s="90"/>
      <c r="T466" s="90"/>
      <c r="U466" s="90"/>
      <c r="V466" s="90"/>
      <c r="W466" s="90"/>
      <c r="X466" s="90"/>
      <c r="Y466" s="90"/>
      <c r="Z466" s="91"/>
    </row>
    <row r="467" spans="1:26" ht="14.4" x14ac:dyDescent="0.25">
      <c r="A467" s="92"/>
      <c r="B467" s="92"/>
      <c r="C467" s="93"/>
      <c r="D467" s="94"/>
      <c r="E467" s="94"/>
      <c r="F467" s="90"/>
      <c r="G467" s="90"/>
      <c r="H467" s="90"/>
      <c r="I467" s="90"/>
      <c r="J467" s="90"/>
      <c r="K467" s="90"/>
      <c r="L467" s="90"/>
      <c r="M467" s="90"/>
      <c r="N467" s="90"/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Z467" s="91"/>
    </row>
    <row r="468" spans="1:26" ht="14.4" x14ac:dyDescent="0.25">
      <c r="A468" s="92"/>
      <c r="B468" s="92"/>
      <c r="C468" s="93"/>
      <c r="D468" s="94"/>
      <c r="E468" s="94"/>
      <c r="F468" s="90"/>
      <c r="G468" s="90"/>
      <c r="H468" s="90"/>
      <c r="I468" s="90"/>
      <c r="J468" s="90"/>
      <c r="K468" s="90"/>
      <c r="L468" s="90"/>
      <c r="M468" s="90"/>
      <c r="N468" s="90"/>
      <c r="O468" s="90"/>
      <c r="P468" s="90"/>
      <c r="Q468" s="90"/>
      <c r="R468" s="90"/>
      <c r="S468" s="90"/>
      <c r="T468" s="90"/>
      <c r="U468" s="90"/>
      <c r="V468" s="90"/>
      <c r="W468" s="90"/>
      <c r="X468" s="90"/>
      <c r="Y468" s="90"/>
      <c r="Z468" s="91"/>
    </row>
    <row r="469" spans="1:26" ht="14.4" x14ac:dyDescent="0.25">
      <c r="A469" s="92"/>
      <c r="B469" s="92"/>
      <c r="C469" s="93"/>
      <c r="D469" s="94"/>
      <c r="E469" s="94"/>
      <c r="F469" s="90"/>
      <c r="G469" s="90"/>
      <c r="H469" s="90"/>
      <c r="I469" s="90"/>
      <c r="J469" s="90"/>
      <c r="K469" s="90"/>
      <c r="L469" s="90"/>
      <c r="M469" s="90"/>
      <c r="N469" s="90"/>
      <c r="O469" s="90"/>
      <c r="P469" s="90"/>
      <c r="Q469" s="90"/>
      <c r="R469" s="90"/>
      <c r="S469" s="90"/>
      <c r="T469" s="90"/>
      <c r="U469" s="90"/>
      <c r="V469" s="90"/>
      <c r="W469" s="90"/>
      <c r="X469" s="90"/>
      <c r="Y469" s="90"/>
      <c r="Z469" s="91"/>
    </row>
    <row r="470" spans="1:26" ht="14.4" x14ac:dyDescent="0.25">
      <c r="A470" s="92"/>
      <c r="B470" s="92"/>
      <c r="C470" s="93"/>
      <c r="D470" s="94"/>
      <c r="E470" s="94"/>
      <c r="F470" s="90"/>
      <c r="G470" s="90"/>
      <c r="H470" s="90"/>
      <c r="I470" s="90"/>
      <c r="J470" s="90"/>
      <c r="K470" s="90"/>
      <c r="L470" s="90"/>
      <c r="M470" s="90"/>
      <c r="N470" s="90"/>
      <c r="O470" s="90"/>
      <c r="P470" s="90"/>
      <c r="Q470" s="90"/>
      <c r="R470" s="90"/>
      <c r="S470" s="90"/>
      <c r="T470" s="90"/>
      <c r="U470" s="90"/>
      <c r="V470" s="90"/>
      <c r="W470" s="90"/>
      <c r="X470" s="90"/>
      <c r="Y470" s="90"/>
      <c r="Z470" s="91"/>
    </row>
    <row r="471" spans="1:26" ht="14.4" x14ac:dyDescent="0.25">
      <c r="A471" s="92"/>
      <c r="B471" s="92"/>
      <c r="C471" s="93"/>
      <c r="D471" s="94"/>
      <c r="E471" s="94"/>
      <c r="F471" s="90"/>
      <c r="G471" s="90"/>
      <c r="H471" s="90"/>
      <c r="I471" s="90"/>
      <c r="J471" s="90"/>
      <c r="K471" s="90"/>
      <c r="L471" s="90"/>
      <c r="M471" s="90"/>
      <c r="N471" s="90"/>
      <c r="O471" s="90"/>
      <c r="P471" s="90"/>
      <c r="Q471" s="90"/>
      <c r="R471" s="90"/>
      <c r="S471" s="90"/>
      <c r="T471" s="90"/>
      <c r="U471" s="90"/>
      <c r="V471" s="90"/>
      <c r="W471" s="90"/>
      <c r="X471" s="90"/>
      <c r="Y471" s="90"/>
      <c r="Z471" s="91"/>
    </row>
    <row r="472" spans="1:26" ht="14.4" x14ac:dyDescent="0.25">
      <c r="A472" s="92"/>
      <c r="B472" s="92"/>
      <c r="C472" s="93"/>
      <c r="D472" s="94"/>
      <c r="E472" s="94"/>
      <c r="F472" s="90"/>
      <c r="G472" s="90"/>
      <c r="H472" s="90"/>
      <c r="I472" s="90"/>
      <c r="J472" s="90"/>
      <c r="K472" s="90"/>
      <c r="L472" s="90"/>
      <c r="M472" s="90"/>
      <c r="N472" s="90"/>
      <c r="O472" s="90"/>
      <c r="P472" s="90"/>
      <c r="Q472" s="90"/>
      <c r="R472" s="90"/>
      <c r="S472" s="90"/>
      <c r="T472" s="90"/>
      <c r="U472" s="90"/>
      <c r="V472" s="90"/>
      <c r="W472" s="90"/>
      <c r="X472" s="90"/>
      <c r="Y472" s="90"/>
      <c r="Z472" s="91"/>
    </row>
    <row r="473" spans="1:26" ht="14.4" x14ac:dyDescent="0.25">
      <c r="A473" s="92"/>
      <c r="B473" s="92"/>
      <c r="C473" s="93"/>
      <c r="D473" s="94"/>
      <c r="E473" s="94"/>
      <c r="F473" s="90"/>
      <c r="G473" s="90"/>
      <c r="H473" s="90"/>
      <c r="I473" s="90"/>
      <c r="J473" s="90"/>
      <c r="K473" s="90"/>
      <c r="L473" s="90"/>
      <c r="M473" s="90"/>
      <c r="N473" s="90"/>
      <c r="O473" s="90"/>
      <c r="P473" s="90"/>
      <c r="Q473" s="90"/>
      <c r="R473" s="90"/>
      <c r="S473" s="90"/>
      <c r="T473" s="90"/>
      <c r="U473" s="90"/>
      <c r="V473" s="90"/>
      <c r="W473" s="90"/>
      <c r="X473" s="90"/>
      <c r="Y473" s="90"/>
      <c r="Z473" s="91"/>
    </row>
    <row r="474" spans="1:26" ht="14.4" x14ac:dyDescent="0.25">
      <c r="A474" s="92"/>
      <c r="B474" s="92"/>
      <c r="C474" s="93"/>
      <c r="D474" s="94"/>
      <c r="E474" s="94"/>
      <c r="F474" s="90"/>
      <c r="G474" s="90"/>
      <c r="H474" s="90"/>
      <c r="I474" s="90"/>
      <c r="J474" s="90"/>
      <c r="K474" s="90"/>
      <c r="L474" s="90"/>
      <c r="M474" s="90"/>
      <c r="N474" s="90"/>
      <c r="O474" s="90"/>
      <c r="P474" s="90"/>
      <c r="Q474" s="90"/>
      <c r="R474" s="90"/>
      <c r="S474" s="90"/>
      <c r="T474" s="90"/>
      <c r="U474" s="90"/>
      <c r="V474" s="90"/>
      <c r="W474" s="90"/>
      <c r="X474" s="90"/>
      <c r="Y474" s="90"/>
      <c r="Z474" s="91"/>
    </row>
    <row r="475" spans="1:26" ht="14.4" x14ac:dyDescent="0.25">
      <c r="A475" s="92"/>
      <c r="B475" s="92"/>
      <c r="C475" s="93"/>
      <c r="D475" s="94"/>
      <c r="E475" s="94"/>
      <c r="F475" s="90"/>
      <c r="G475" s="90"/>
      <c r="H475" s="90"/>
      <c r="I475" s="90"/>
      <c r="J475" s="90"/>
      <c r="K475" s="90"/>
      <c r="L475" s="90"/>
      <c r="M475" s="90"/>
      <c r="N475" s="90"/>
      <c r="O475" s="90"/>
      <c r="P475" s="90"/>
      <c r="Q475" s="90"/>
      <c r="R475" s="90"/>
      <c r="S475" s="90"/>
      <c r="T475" s="90"/>
      <c r="U475" s="90"/>
      <c r="V475" s="90"/>
      <c r="W475" s="90"/>
      <c r="X475" s="90"/>
      <c r="Y475" s="90"/>
      <c r="Z475" s="91"/>
    </row>
    <row r="476" spans="1:26" ht="14.4" x14ac:dyDescent="0.25">
      <c r="A476" s="92"/>
      <c r="B476" s="92"/>
      <c r="C476" s="93"/>
      <c r="D476" s="94"/>
      <c r="E476" s="94"/>
      <c r="F476" s="90"/>
      <c r="G476" s="90"/>
      <c r="H476" s="90"/>
      <c r="I476" s="90"/>
      <c r="J476" s="90"/>
      <c r="K476" s="90"/>
      <c r="L476" s="90"/>
      <c r="M476" s="90"/>
      <c r="N476" s="90"/>
      <c r="O476" s="90"/>
      <c r="P476" s="90"/>
      <c r="Q476" s="90"/>
      <c r="R476" s="90"/>
      <c r="S476" s="90"/>
      <c r="T476" s="90"/>
      <c r="U476" s="90"/>
      <c r="V476" s="90"/>
      <c r="W476" s="90"/>
      <c r="X476" s="90"/>
      <c r="Y476" s="90"/>
      <c r="Z476" s="91"/>
    </row>
    <row r="477" spans="1:26" ht="14.4" x14ac:dyDescent="0.25">
      <c r="A477" s="92"/>
      <c r="B477" s="92"/>
      <c r="C477" s="93"/>
      <c r="D477" s="94"/>
      <c r="E477" s="94"/>
      <c r="F477" s="90"/>
      <c r="G477" s="90"/>
      <c r="H477" s="90"/>
      <c r="I477" s="90"/>
      <c r="J477" s="90"/>
      <c r="K477" s="90"/>
      <c r="L477" s="90"/>
      <c r="M477" s="90"/>
      <c r="N477" s="90"/>
      <c r="O477" s="90"/>
      <c r="P477" s="90"/>
      <c r="Q477" s="90"/>
      <c r="R477" s="90"/>
      <c r="S477" s="90"/>
      <c r="T477" s="90"/>
      <c r="U477" s="90"/>
      <c r="V477" s="90"/>
      <c r="W477" s="90"/>
      <c r="X477" s="90"/>
      <c r="Y477" s="90"/>
      <c r="Z477" s="91"/>
    </row>
    <row r="478" spans="1:26" ht="14.4" x14ac:dyDescent="0.25">
      <c r="A478" s="92"/>
      <c r="B478" s="92"/>
      <c r="C478" s="93"/>
      <c r="D478" s="94"/>
      <c r="E478" s="94"/>
      <c r="F478" s="90"/>
      <c r="G478" s="90"/>
      <c r="H478" s="90"/>
      <c r="I478" s="90"/>
      <c r="J478" s="90"/>
      <c r="K478" s="90"/>
      <c r="L478" s="90"/>
      <c r="M478" s="90"/>
      <c r="N478" s="90"/>
      <c r="O478" s="90"/>
      <c r="P478" s="90"/>
      <c r="Q478" s="90"/>
      <c r="R478" s="90"/>
      <c r="S478" s="90"/>
      <c r="T478" s="90"/>
      <c r="U478" s="90"/>
      <c r="V478" s="90"/>
      <c r="W478" s="90"/>
      <c r="X478" s="90"/>
      <c r="Y478" s="90"/>
      <c r="Z478" s="91"/>
    </row>
    <row r="479" spans="1:26" ht="14.4" x14ac:dyDescent="0.25">
      <c r="A479" s="92"/>
      <c r="B479" s="92"/>
      <c r="C479" s="93"/>
      <c r="D479" s="94"/>
      <c r="E479" s="94"/>
      <c r="F479" s="90"/>
      <c r="G479" s="90"/>
      <c r="H479" s="90"/>
      <c r="I479" s="90"/>
      <c r="J479" s="90"/>
      <c r="K479" s="90"/>
      <c r="L479" s="90"/>
      <c r="M479" s="90"/>
      <c r="N479" s="90"/>
      <c r="O479" s="90"/>
      <c r="P479" s="90"/>
      <c r="Q479" s="90"/>
      <c r="R479" s="90"/>
      <c r="S479" s="90"/>
      <c r="T479" s="90"/>
      <c r="U479" s="90"/>
      <c r="V479" s="90"/>
      <c r="W479" s="90"/>
      <c r="X479" s="90"/>
      <c r="Y479" s="90"/>
      <c r="Z479" s="91"/>
    </row>
    <row r="480" spans="1:26" ht="14.4" x14ac:dyDescent="0.25">
      <c r="A480" s="92"/>
      <c r="B480" s="92"/>
      <c r="C480" s="93"/>
      <c r="D480" s="94"/>
      <c r="E480" s="94"/>
      <c r="F480" s="90"/>
      <c r="G480" s="90"/>
      <c r="H480" s="90"/>
      <c r="I480" s="90"/>
      <c r="J480" s="90"/>
      <c r="K480" s="90"/>
      <c r="L480" s="90"/>
      <c r="M480" s="90"/>
      <c r="N480" s="90"/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Z480" s="91"/>
    </row>
    <row r="481" spans="1:26" ht="14.4" x14ac:dyDescent="0.25">
      <c r="A481" s="92"/>
      <c r="B481" s="92"/>
      <c r="C481" s="93"/>
      <c r="D481" s="94"/>
      <c r="E481" s="94"/>
      <c r="F481" s="90"/>
      <c r="G481" s="90"/>
      <c r="H481" s="90"/>
      <c r="I481" s="90"/>
      <c r="J481" s="90"/>
      <c r="K481" s="90"/>
      <c r="L481" s="90"/>
      <c r="M481" s="90"/>
      <c r="N481" s="90"/>
      <c r="O481" s="90"/>
      <c r="P481" s="90"/>
      <c r="Q481" s="90"/>
      <c r="R481" s="90"/>
      <c r="S481" s="90"/>
      <c r="T481" s="90"/>
      <c r="U481" s="90"/>
      <c r="V481" s="90"/>
      <c r="W481" s="90"/>
      <c r="X481" s="90"/>
      <c r="Y481" s="90"/>
      <c r="Z481" s="91"/>
    </row>
    <row r="482" spans="1:26" ht="14.4" x14ac:dyDescent="0.25">
      <c r="A482" s="92"/>
      <c r="B482" s="92"/>
      <c r="C482" s="93"/>
      <c r="D482" s="94"/>
      <c r="E482" s="94"/>
      <c r="F482" s="90"/>
      <c r="G482" s="90"/>
      <c r="H482" s="90"/>
      <c r="I482" s="90"/>
      <c r="J482" s="90"/>
      <c r="K482" s="90"/>
      <c r="L482" s="90"/>
      <c r="M482" s="90"/>
      <c r="N482" s="90"/>
      <c r="O482" s="90"/>
      <c r="P482" s="90"/>
      <c r="Q482" s="90"/>
      <c r="R482" s="90"/>
      <c r="S482" s="90"/>
      <c r="T482" s="90"/>
      <c r="U482" s="90"/>
      <c r="V482" s="90"/>
      <c r="W482" s="90"/>
      <c r="X482" s="90"/>
      <c r="Y482" s="90"/>
      <c r="Z482" s="91"/>
    </row>
    <row r="483" spans="1:26" ht="14.4" x14ac:dyDescent="0.25">
      <c r="A483" s="92"/>
      <c r="B483" s="92"/>
      <c r="C483" s="93"/>
      <c r="D483" s="94"/>
      <c r="E483" s="94"/>
      <c r="F483" s="90"/>
      <c r="G483" s="90"/>
      <c r="H483" s="90"/>
      <c r="I483" s="90"/>
      <c r="J483" s="90"/>
      <c r="K483" s="90"/>
      <c r="L483" s="90"/>
      <c r="M483" s="90"/>
      <c r="N483" s="90"/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1"/>
    </row>
    <row r="484" spans="1:26" ht="14.4" x14ac:dyDescent="0.25">
      <c r="A484" s="92"/>
      <c r="B484" s="92"/>
      <c r="C484" s="93"/>
      <c r="D484" s="94"/>
      <c r="E484" s="94"/>
      <c r="F484" s="90"/>
      <c r="G484" s="90"/>
      <c r="H484" s="90"/>
      <c r="I484" s="90"/>
      <c r="J484" s="90"/>
      <c r="K484" s="90"/>
      <c r="L484" s="90"/>
      <c r="M484" s="90"/>
      <c r="N484" s="90"/>
      <c r="O484" s="90"/>
      <c r="P484" s="90"/>
      <c r="Q484" s="90"/>
      <c r="R484" s="90"/>
      <c r="S484" s="90"/>
      <c r="T484" s="90"/>
      <c r="U484" s="90"/>
      <c r="V484" s="90"/>
      <c r="W484" s="90"/>
      <c r="X484" s="90"/>
      <c r="Y484" s="90"/>
      <c r="Z484" s="91"/>
    </row>
    <row r="485" spans="1:26" ht="14.4" x14ac:dyDescent="0.25">
      <c r="A485" s="92"/>
      <c r="B485" s="92"/>
      <c r="C485" s="93"/>
      <c r="D485" s="94"/>
      <c r="E485" s="94"/>
      <c r="F485" s="90"/>
      <c r="G485" s="90"/>
      <c r="H485" s="90"/>
      <c r="I485" s="90"/>
      <c r="J485" s="90"/>
      <c r="K485" s="90"/>
      <c r="L485" s="90"/>
      <c r="M485" s="90"/>
      <c r="N485" s="90"/>
      <c r="O485" s="90"/>
      <c r="P485" s="90"/>
      <c r="Q485" s="90"/>
      <c r="R485" s="90"/>
      <c r="S485" s="90"/>
      <c r="T485" s="90"/>
      <c r="U485" s="90"/>
      <c r="V485" s="90"/>
      <c r="W485" s="90"/>
      <c r="X485" s="90"/>
      <c r="Y485" s="90"/>
      <c r="Z485" s="91"/>
    </row>
    <row r="486" spans="1:26" ht="14.4" x14ac:dyDescent="0.25">
      <c r="A486" s="92"/>
      <c r="B486" s="92"/>
      <c r="C486" s="93"/>
      <c r="D486" s="94"/>
      <c r="E486" s="94"/>
      <c r="F486" s="90"/>
      <c r="G486" s="90"/>
      <c r="H486" s="90"/>
      <c r="I486" s="90"/>
      <c r="J486" s="90"/>
      <c r="K486" s="90"/>
      <c r="L486" s="90"/>
      <c r="M486" s="90"/>
      <c r="N486" s="90"/>
      <c r="O486" s="90"/>
      <c r="P486" s="90"/>
      <c r="Q486" s="90"/>
      <c r="R486" s="90"/>
      <c r="S486" s="90"/>
      <c r="T486" s="90"/>
      <c r="U486" s="90"/>
      <c r="V486" s="90"/>
      <c r="W486" s="90"/>
      <c r="X486" s="90"/>
      <c r="Y486" s="90"/>
      <c r="Z486" s="91"/>
    </row>
    <row r="487" spans="1:26" ht="14.4" x14ac:dyDescent="0.25">
      <c r="A487" s="92"/>
      <c r="B487" s="92"/>
      <c r="C487" s="93"/>
      <c r="D487" s="94"/>
      <c r="E487" s="94"/>
      <c r="F487" s="90"/>
      <c r="G487" s="90"/>
      <c r="H487" s="90"/>
      <c r="I487" s="90"/>
      <c r="J487" s="90"/>
      <c r="K487" s="90"/>
      <c r="L487" s="90"/>
      <c r="M487" s="90"/>
      <c r="N487" s="90"/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1"/>
    </row>
    <row r="488" spans="1:26" ht="14.4" x14ac:dyDescent="0.25">
      <c r="A488" s="92"/>
      <c r="B488" s="92"/>
      <c r="C488" s="93"/>
      <c r="D488" s="94"/>
      <c r="E488" s="94"/>
      <c r="F488" s="90"/>
      <c r="G488" s="90"/>
      <c r="H488" s="90"/>
      <c r="I488" s="90"/>
      <c r="J488" s="90"/>
      <c r="K488" s="90"/>
      <c r="L488" s="90"/>
      <c r="M488" s="90"/>
      <c r="N488" s="90"/>
      <c r="O488" s="90"/>
      <c r="P488" s="90"/>
      <c r="Q488" s="90"/>
      <c r="R488" s="90"/>
      <c r="S488" s="90"/>
      <c r="T488" s="90"/>
      <c r="U488" s="90"/>
      <c r="V488" s="90"/>
      <c r="W488" s="90"/>
      <c r="X488" s="90"/>
      <c r="Y488" s="90"/>
      <c r="Z488" s="91"/>
    </row>
    <row r="489" spans="1:26" ht="14.4" x14ac:dyDescent="0.25">
      <c r="A489" s="92"/>
      <c r="B489" s="92"/>
      <c r="C489" s="93"/>
      <c r="D489" s="94"/>
      <c r="E489" s="94"/>
      <c r="F489" s="90"/>
      <c r="G489" s="90"/>
      <c r="H489" s="90"/>
      <c r="I489" s="90"/>
      <c r="J489" s="90"/>
      <c r="K489" s="90"/>
      <c r="L489" s="90"/>
      <c r="M489" s="90"/>
      <c r="N489" s="90"/>
      <c r="O489" s="90"/>
      <c r="P489" s="90"/>
      <c r="Q489" s="90"/>
      <c r="R489" s="90"/>
      <c r="S489" s="90"/>
      <c r="T489" s="90"/>
      <c r="U489" s="90"/>
      <c r="V489" s="90"/>
      <c r="W489" s="90"/>
      <c r="X489" s="90"/>
      <c r="Y489" s="90"/>
      <c r="Z489" s="91"/>
    </row>
    <row r="490" spans="1:26" ht="14.4" x14ac:dyDescent="0.25">
      <c r="A490" s="92"/>
      <c r="B490" s="92"/>
      <c r="C490" s="93"/>
      <c r="D490" s="94"/>
      <c r="E490" s="94"/>
      <c r="F490" s="90"/>
      <c r="G490" s="90"/>
      <c r="H490" s="90"/>
      <c r="I490" s="90"/>
      <c r="J490" s="90"/>
      <c r="K490" s="90"/>
      <c r="L490" s="90"/>
      <c r="M490" s="90"/>
      <c r="N490" s="90"/>
      <c r="O490" s="90"/>
      <c r="P490" s="90"/>
      <c r="Q490" s="90"/>
      <c r="R490" s="90"/>
      <c r="S490" s="90"/>
      <c r="T490" s="90"/>
      <c r="U490" s="90"/>
      <c r="V490" s="90"/>
      <c r="W490" s="90"/>
      <c r="X490" s="90"/>
      <c r="Y490" s="90"/>
      <c r="Z490" s="91"/>
    </row>
    <row r="491" spans="1:26" ht="14.4" x14ac:dyDescent="0.25">
      <c r="A491" s="92"/>
      <c r="B491" s="92"/>
      <c r="C491" s="93"/>
      <c r="D491" s="94"/>
      <c r="E491" s="94"/>
      <c r="F491" s="90"/>
      <c r="G491" s="90"/>
      <c r="H491" s="90"/>
      <c r="I491" s="90"/>
      <c r="J491" s="90"/>
      <c r="K491" s="90"/>
      <c r="L491" s="90"/>
      <c r="M491" s="90"/>
      <c r="N491" s="90"/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1"/>
    </row>
    <row r="492" spans="1:26" ht="14.4" x14ac:dyDescent="0.25">
      <c r="A492" s="92"/>
      <c r="B492" s="92"/>
      <c r="C492" s="93"/>
      <c r="D492" s="94"/>
      <c r="E492" s="94"/>
      <c r="F492" s="90"/>
      <c r="G492" s="90"/>
      <c r="H492" s="90"/>
      <c r="I492" s="90"/>
      <c r="J492" s="90"/>
      <c r="K492" s="90"/>
      <c r="L492" s="90"/>
      <c r="M492" s="90"/>
      <c r="N492" s="90"/>
      <c r="O492" s="90"/>
      <c r="P492" s="90"/>
      <c r="Q492" s="90"/>
      <c r="R492" s="90"/>
      <c r="S492" s="90"/>
      <c r="T492" s="90"/>
      <c r="U492" s="90"/>
      <c r="V492" s="90"/>
      <c r="W492" s="90"/>
      <c r="X492" s="90"/>
      <c r="Y492" s="90"/>
      <c r="Z492" s="91"/>
    </row>
    <row r="493" spans="1:26" ht="14.4" x14ac:dyDescent="0.25">
      <c r="A493" s="92"/>
      <c r="B493" s="92"/>
      <c r="C493" s="93"/>
      <c r="D493" s="94"/>
      <c r="E493" s="94"/>
      <c r="F493" s="90"/>
      <c r="G493" s="90"/>
      <c r="H493" s="90"/>
      <c r="I493" s="90"/>
      <c r="J493" s="90"/>
      <c r="K493" s="90"/>
      <c r="L493" s="90"/>
      <c r="M493" s="90"/>
      <c r="N493" s="90"/>
      <c r="O493" s="90"/>
      <c r="P493" s="90"/>
      <c r="Q493" s="90"/>
      <c r="R493" s="90"/>
      <c r="S493" s="90"/>
      <c r="T493" s="90"/>
      <c r="U493" s="90"/>
      <c r="V493" s="90"/>
      <c r="W493" s="90"/>
      <c r="X493" s="90"/>
      <c r="Y493" s="90"/>
      <c r="Z493" s="91"/>
    </row>
    <row r="494" spans="1:26" ht="14.4" x14ac:dyDescent="0.25">
      <c r="A494" s="92"/>
      <c r="B494" s="92"/>
      <c r="C494" s="93"/>
      <c r="D494" s="94"/>
      <c r="E494" s="94"/>
      <c r="F494" s="90"/>
      <c r="G494" s="90"/>
      <c r="H494" s="90"/>
      <c r="I494" s="90"/>
      <c r="J494" s="90"/>
      <c r="K494" s="90"/>
      <c r="L494" s="90"/>
      <c r="M494" s="90"/>
      <c r="N494" s="90"/>
      <c r="O494" s="90"/>
      <c r="P494" s="90"/>
      <c r="Q494" s="90"/>
      <c r="R494" s="90"/>
      <c r="S494" s="90"/>
      <c r="T494" s="90"/>
      <c r="U494" s="90"/>
      <c r="V494" s="90"/>
      <c r="W494" s="90"/>
      <c r="X494" s="90"/>
      <c r="Y494" s="90"/>
      <c r="Z494" s="91"/>
    </row>
    <row r="495" spans="1:26" ht="14.4" x14ac:dyDescent="0.25">
      <c r="A495" s="92"/>
      <c r="B495" s="92"/>
      <c r="C495" s="93"/>
      <c r="D495" s="94"/>
      <c r="E495" s="94"/>
      <c r="F495" s="90"/>
      <c r="G495" s="90"/>
      <c r="H495" s="90"/>
      <c r="I495" s="90"/>
      <c r="J495" s="90"/>
      <c r="K495" s="90"/>
      <c r="L495" s="90"/>
      <c r="M495" s="90"/>
      <c r="N495" s="90"/>
      <c r="O495" s="90"/>
      <c r="P495" s="90"/>
      <c r="Q495" s="90"/>
      <c r="R495" s="90"/>
      <c r="S495" s="90"/>
      <c r="T495" s="90"/>
      <c r="U495" s="90"/>
      <c r="V495" s="90"/>
      <c r="W495" s="90"/>
      <c r="X495" s="90"/>
      <c r="Y495" s="90"/>
      <c r="Z495" s="91"/>
    </row>
    <row r="496" spans="1:26" ht="14.4" x14ac:dyDescent="0.25">
      <c r="A496" s="92"/>
      <c r="B496" s="92"/>
      <c r="C496" s="93"/>
      <c r="D496" s="94"/>
      <c r="E496" s="94"/>
      <c r="F496" s="90"/>
      <c r="G496" s="90"/>
      <c r="H496" s="90"/>
      <c r="I496" s="90"/>
      <c r="J496" s="90"/>
      <c r="K496" s="90"/>
      <c r="L496" s="90"/>
      <c r="M496" s="90"/>
      <c r="N496" s="90"/>
      <c r="O496" s="90"/>
      <c r="P496" s="90"/>
      <c r="Q496" s="90"/>
      <c r="R496" s="90"/>
      <c r="S496" s="90"/>
      <c r="T496" s="90"/>
      <c r="U496" s="90"/>
      <c r="V496" s="90"/>
      <c r="W496" s="90"/>
      <c r="X496" s="90"/>
      <c r="Y496" s="90"/>
      <c r="Z496" s="91"/>
    </row>
    <row r="497" spans="1:26" ht="14.4" x14ac:dyDescent="0.25">
      <c r="A497" s="92"/>
      <c r="B497" s="92"/>
      <c r="C497" s="93"/>
      <c r="D497" s="94"/>
      <c r="E497" s="94"/>
      <c r="F497" s="90"/>
      <c r="G497" s="90"/>
      <c r="H497" s="90"/>
      <c r="I497" s="90"/>
      <c r="J497" s="90"/>
      <c r="K497" s="90"/>
      <c r="L497" s="90"/>
      <c r="M497" s="90"/>
      <c r="N497" s="90"/>
      <c r="O497" s="90"/>
      <c r="P497" s="90"/>
      <c r="Q497" s="90"/>
      <c r="R497" s="90"/>
      <c r="S497" s="90"/>
      <c r="T497" s="90"/>
      <c r="U497" s="90"/>
      <c r="V497" s="90"/>
      <c r="W497" s="90"/>
      <c r="X497" s="90"/>
      <c r="Y497" s="90"/>
      <c r="Z497" s="91"/>
    </row>
    <row r="498" spans="1:26" ht="14.4" x14ac:dyDescent="0.25">
      <c r="A498" s="92"/>
      <c r="B498" s="92"/>
      <c r="C498" s="93"/>
      <c r="D498" s="94"/>
      <c r="E498" s="94"/>
      <c r="F498" s="90"/>
      <c r="G498" s="90"/>
      <c r="H498" s="90"/>
      <c r="I498" s="90"/>
      <c r="J498" s="90"/>
      <c r="K498" s="90"/>
      <c r="L498" s="90"/>
      <c r="M498" s="90"/>
      <c r="N498" s="90"/>
      <c r="O498" s="90"/>
      <c r="P498" s="90"/>
      <c r="Q498" s="90"/>
      <c r="R498" s="90"/>
      <c r="S498" s="90"/>
      <c r="T498" s="90"/>
      <c r="U498" s="90"/>
      <c r="V498" s="90"/>
      <c r="W498" s="90"/>
      <c r="X498" s="90"/>
      <c r="Y498" s="90"/>
      <c r="Z498" s="91"/>
    </row>
    <row r="499" spans="1:26" ht="14.4" x14ac:dyDescent="0.25">
      <c r="A499" s="92"/>
      <c r="B499" s="92"/>
      <c r="C499" s="93"/>
      <c r="D499" s="94"/>
      <c r="E499" s="94"/>
      <c r="F499" s="90"/>
      <c r="G499" s="90"/>
      <c r="H499" s="90"/>
      <c r="I499" s="90"/>
      <c r="J499" s="90"/>
      <c r="K499" s="90"/>
      <c r="L499" s="90"/>
      <c r="M499" s="90"/>
      <c r="N499" s="90"/>
      <c r="O499" s="90"/>
      <c r="P499" s="90"/>
      <c r="Q499" s="90"/>
      <c r="R499" s="90"/>
      <c r="S499" s="90"/>
      <c r="T499" s="90"/>
      <c r="U499" s="90"/>
      <c r="V499" s="90"/>
      <c r="W499" s="90"/>
      <c r="X499" s="90"/>
      <c r="Y499" s="90"/>
      <c r="Z499" s="91"/>
    </row>
    <row r="500" spans="1:26" ht="14.4" x14ac:dyDescent="0.25">
      <c r="A500" s="92"/>
      <c r="B500" s="92"/>
      <c r="C500" s="93"/>
      <c r="D500" s="94"/>
      <c r="E500" s="94"/>
      <c r="F500" s="90"/>
      <c r="G500" s="90"/>
      <c r="H500" s="90"/>
      <c r="I500" s="90"/>
      <c r="J500" s="90"/>
      <c r="K500" s="90"/>
      <c r="L500" s="90"/>
      <c r="M500" s="90"/>
      <c r="N500" s="90"/>
      <c r="O500" s="90"/>
      <c r="P500" s="90"/>
      <c r="Q500" s="90"/>
      <c r="R500" s="90"/>
      <c r="S500" s="90"/>
      <c r="T500" s="90"/>
      <c r="U500" s="90"/>
      <c r="V500" s="90"/>
      <c r="W500" s="90"/>
      <c r="X500" s="90"/>
      <c r="Y500" s="90"/>
      <c r="Z500" s="91"/>
    </row>
    <row r="501" spans="1:26" ht="14.4" x14ac:dyDescent="0.25">
      <c r="A501" s="92"/>
      <c r="B501" s="92"/>
      <c r="C501" s="93"/>
      <c r="D501" s="94"/>
      <c r="E501" s="94"/>
      <c r="F501" s="90"/>
      <c r="G501" s="90"/>
      <c r="H501" s="90"/>
      <c r="I501" s="90"/>
      <c r="J501" s="90"/>
      <c r="K501" s="90"/>
      <c r="L501" s="90"/>
      <c r="M501" s="90"/>
      <c r="N501" s="90"/>
      <c r="O501" s="90"/>
      <c r="P501" s="90"/>
      <c r="Q501" s="90"/>
      <c r="R501" s="90"/>
      <c r="S501" s="90"/>
      <c r="T501" s="90"/>
      <c r="U501" s="90"/>
      <c r="V501" s="90"/>
      <c r="W501" s="90"/>
      <c r="X501" s="90"/>
      <c r="Y501" s="90"/>
      <c r="Z501" s="91"/>
    </row>
    <row r="502" spans="1:26" ht="14.4" x14ac:dyDescent="0.25">
      <c r="A502" s="92"/>
      <c r="B502" s="92"/>
      <c r="C502" s="93"/>
      <c r="D502" s="94"/>
      <c r="E502" s="94"/>
      <c r="F502" s="90"/>
      <c r="G502" s="90"/>
      <c r="H502" s="90"/>
      <c r="I502" s="90"/>
      <c r="J502" s="90"/>
      <c r="K502" s="90"/>
      <c r="L502" s="90"/>
      <c r="M502" s="90"/>
      <c r="N502" s="90"/>
      <c r="O502" s="90"/>
      <c r="P502" s="90"/>
      <c r="Q502" s="90"/>
      <c r="R502" s="90"/>
      <c r="S502" s="90"/>
      <c r="T502" s="90"/>
      <c r="U502" s="90"/>
      <c r="V502" s="90"/>
      <c r="W502" s="90"/>
      <c r="X502" s="90"/>
      <c r="Y502" s="90"/>
      <c r="Z502" s="91"/>
    </row>
    <row r="503" spans="1:26" ht="14.4" x14ac:dyDescent="0.25">
      <c r="A503" s="92"/>
      <c r="B503" s="92"/>
      <c r="C503" s="93"/>
      <c r="D503" s="94"/>
      <c r="E503" s="94"/>
      <c r="F503" s="90"/>
      <c r="G503" s="90"/>
      <c r="H503" s="90"/>
      <c r="I503" s="90"/>
      <c r="J503" s="90"/>
      <c r="K503" s="90"/>
      <c r="L503" s="90"/>
      <c r="M503" s="90"/>
      <c r="N503" s="90"/>
      <c r="O503" s="90"/>
      <c r="P503" s="90"/>
      <c r="Q503" s="90"/>
      <c r="R503" s="90"/>
      <c r="S503" s="90"/>
      <c r="T503" s="90"/>
      <c r="U503" s="90"/>
      <c r="V503" s="90"/>
      <c r="W503" s="90"/>
      <c r="X503" s="90"/>
      <c r="Y503" s="90"/>
      <c r="Z503" s="91"/>
    </row>
    <row r="504" spans="1:26" ht="14.4" x14ac:dyDescent="0.25">
      <c r="A504" s="92"/>
      <c r="B504" s="92"/>
      <c r="C504" s="93"/>
      <c r="D504" s="94"/>
      <c r="E504" s="94"/>
      <c r="F504" s="90"/>
      <c r="G504" s="90"/>
      <c r="H504" s="90"/>
      <c r="I504" s="90"/>
      <c r="J504" s="90"/>
      <c r="K504" s="90"/>
      <c r="L504" s="90"/>
      <c r="M504" s="90"/>
      <c r="N504" s="90"/>
      <c r="O504" s="90"/>
      <c r="P504" s="90"/>
      <c r="Q504" s="90"/>
      <c r="R504" s="90"/>
      <c r="S504" s="90"/>
      <c r="T504" s="90"/>
      <c r="U504" s="90"/>
      <c r="V504" s="90"/>
      <c r="W504" s="90"/>
      <c r="X504" s="90"/>
      <c r="Y504" s="90"/>
      <c r="Z504" s="91"/>
    </row>
    <row r="505" spans="1:26" ht="14.4" x14ac:dyDescent="0.25">
      <c r="A505" s="92"/>
      <c r="B505" s="92"/>
      <c r="C505" s="93"/>
      <c r="D505" s="94"/>
      <c r="E505" s="94"/>
      <c r="F505" s="90"/>
      <c r="G505" s="90"/>
      <c r="H505" s="90"/>
      <c r="I505" s="90"/>
      <c r="J505" s="90"/>
      <c r="K505" s="90"/>
      <c r="L505" s="90"/>
      <c r="M505" s="90"/>
      <c r="N505" s="90"/>
      <c r="O505" s="90"/>
      <c r="P505" s="90"/>
      <c r="Q505" s="90"/>
      <c r="R505" s="90"/>
      <c r="S505" s="90"/>
      <c r="T505" s="90"/>
      <c r="U505" s="90"/>
      <c r="V505" s="90"/>
      <c r="W505" s="90"/>
      <c r="X505" s="90"/>
      <c r="Y505" s="90"/>
      <c r="Z505" s="91"/>
    </row>
    <row r="506" spans="1:26" ht="14.4" x14ac:dyDescent="0.25">
      <c r="A506" s="92"/>
      <c r="B506" s="92"/>
      <c r="C506" s="93"/>
      <c r="D506" s="94"/>
      <c r="E506" s="94"/>
      <c r="F506" s="90"/>
      <c r="G506" s="90"/>
      <c r="H506" s="90"/>
      <c r="I506" s="90"/>
      <c r="J506" s="90"/>
      <c r="K506" s="90"/>
      <c r="L506" s="90"/>
      <c r="M506" s="90"/>
      <c r="N506" s="90"/>
      <c r="O506" s="90"/>
      <c r="P506" s="90"/>
      <c r="Q506" s="90"/>
      <c r="R506" s="90"/>
      <c r="S506" s="90"/>
      <c r="T506" s="90"/>
      <c r="U506" s="90"/>
      <c r="V506" s="90"/>
      <c r="W506" s="90"/>
      <c r="X506" s="90"/>
      <c r="Y506" s="90"/>
      <c r="Z506" s="91"/>
    </row>
    <row r="507" spans="1:26" ht="14.4" x14ac:dyDescent="0.25">
      <c r="A507" s="92"/>
      <c r="B507" s="92"/>
      <c r="C507" s="93"/>
      <c r="D507" s="94"/>
      <c r="E507" s="94"/>
      <c r="F507" s="90"/>
      <c r="G507" s="90"/>
      <c r="H507" s="90"/>
      <c r="I507" s="90"/>
      <c r="J507" s="90"/>
      <c r="K507" s="90"/>
      <c r="L507" s="90"/>
      <c r="M507" s="90"/>
      <c r="N507" s="90"/>
      <c r="O507" s="90"/>
      <c r="P507" s="90"/>
      <c r="Q507" s="90"/>
      <c r="R507" s="90"/>
      <c r="S507" s="90"/>
      <c r="T507" s="90"/>
      <c r="U507" s="90"/>
      <c r="V507" s="90"/>
      <c r="W507" s="90"/>
      <c r="X507" s="90"/>
      <c r="Y507" s="90"/>
      <c r="Z507" s="91"/>
    </row>
    <row r="508" spans="1:26" ht="14.4" x14ac:dyDescent="0.25">
      <c r="A508" s="92"/>
      <c r="B508" s="92"/>
      <c r="C508" s="93"/>
      <c r="D508" s="94"/>
      <c r="E508" s="94"/>
      <c r="F508" s="90"/>
      <c r="G508" s="90"/>
      <c r="H508" s="90"/>
      <c r="I508" s="90"/>
      <c r="J508" s="90"/>
      <c r="K508" s="90"/>
      <c r="L508" s="90"/>
      <c r="M508" s="90"/>
      <c r="N508" s="90"/>
      <c r="O508" s="90"/>
      <c r="P508" s="90"/>
      <c r="Q508" s="90"/>
      <c r="R508" s="90"/>
      <c r="S508" s="90"/>
      <c r="T508" s="90"/>
      <c r="U508" s="90"/>
      <c r="V508" s="90"/>
      <c r="W508" s="90"/>
      <c r="X508" s="90"/>
      <c r="Y508" s="90"/>
      <c r="Z508" s="91"/>
    </row>
    <row r="509" spans="1:26" ht="14.4" x14ac:dyDescent="0.25">
      <c r="A509" s="92"/>
      <c r="B509" s="92"/>
      <c r="C509" s="93"/>
      <c r="D509" s="94"/>
      <c r="E509" s="94"/>
      <c r="F509" s="90"/>
      <c r="G509" s="90"/>
      <c r="H509" s="90"/>
      <c r="I509" s="90"/>
      <c r="J509" s="90"/>
      <c r="K509" s="90"/>
      <c r="L509" s="90"/>
      <c r="M509" s="90"/>
      <c r="N509" s="90"/>
      <c r="O509" s="90"/>
      <c r="P509" s="90"/>
      <c r="Q509" s="90"/>
      <c r="R509" s="90"/>
      <c r="S509" s="90"/>
      <c r="T509" s="90"/>
      <c r="U509" s="90"/>
      <c r="V509" s="90"/>
      <c r="W509" s="90"/>
      <c r="X509" s="90"/>
      <c r="Y509" s="90"/>
      <c r="Z509" s="91"/>
    </row>
    <row r="510" spans="1:26" ht="14.4" x14ac:dyDescent="0.25">
      <c r="A510" s="92"/>
      <c r="B510" s="92"/>
      <c r="C510" s="93"/>
      <c r="D510" s="94"/>
      <c r="E510" s="94"/>
      <c r="F510" s="90"/>
      <c r="G510" s="90"/>
      <c r="H510" s="90"/>
      <c r="I510" s="90"/>
      <c r="J510" s="90"/>
      <c r="K510" s="90"/>
      <c r="L510" s="90"/>
      <c r="M510" s="90"/>
      <c r="N510" s="90"/>
      <c r="O510" s="90"/>
      <c r="P510" s="90"/>
      <c r="Q510" s="90"/>
      <c r="R510" s="90"/>
      <c r="S510" s="90"/>
      <c r="T510" s="90"/>
      <c r="U510" s="90"/>
      <c r="V510" s="90"/>
      <c r="W510" s="90"/>
      <c r="X510" s="90"/>
      <c r="Y510" s="90"/>
      <c r="Z510" s="91"/>
    </row>
    <row r="511" spans="1:26" ht="14.4" x14ac:dyDescent="0.25">
      <c r="A511" s="92"/>
      <c r="B511" s="92"/>
      <c r="C511" s="93"/>
      <c r="D511" s="94"/>
      <c r="E511" s="94"/>
      <c r="F511" s="90"/>
      <c r="G511" s="90"/>
      <c r="H511" s="90"/>
      <c r="I511" s="90"/>
      <c r="J511" s="90"/>
      <c r="K511" s="90"/>
      <c r="L511" s="90"/>
      <c r="M511" s="90"/>
      <c r="N511" s="90"/>
      <c r="O511" s="90"/>
      <c r="P511" s="90"/>
      <c r="Q511" s="90"/>
      <c r="R511" s="90"/>
      <c r="S511" s="90"/>
      <c r="T511" s="90"/>
      <c r="U511" s="90"/>
      <c r="V511" s="90"/>
      <c r="W511" s="90"/>
      <c r="X511" s="90"/>
      <c r="Y511" s="90"/>
      <c r="Z511" s="91"/>
    </row>
    <row r="512" spans="1:26" ht="14.4" x14ac:dyDescent="0.25">
      <c r="A512" s="92"/>
      <c r="B512" s="92"/>
      <c r="C512" s="93"/>
      <c r="D512" s="94"/>
      <c r="E512" s="94"/>
      <c r="F512" s="90"/>
      <c r="G512" s="90"/>
      <c r="H512" s="90"/>
      <c r="I512" s="90"/>
      <c r="J512" s="90"/>
      <c r="K512" s="90"/>
      <c r="L512" s="90"/>
      <c r="M512" s="90"/>
      <c r="N512" s="90"/>
      <c r="O512" s="90"/>
      <c r="P512" s="90"/>
      <c r="Q512" s="90"/>
      <c r="R512" s="90"/>
      <c r="S512" s="90"/>
      <c r="T512" s="90"/>
      <c r="U512" s="90"/>
      <c r="V512" s="90"/>
      <c r="W512" s="90"/>
      <c r="X512" s="90"/>
      <c r="Y512" s="90"/>
      <c r="Z512" s="91"/>
    </row>
    <row r="513" spans="1:26" ht="14.4" x14ac:dyDescent="0.25">
      <c r="A513" s="92"/>
      <c r="B513" s="92"/>
      <c r="C513" s="93"/>
      <c r="D513" s="94"/>
      <c r="E513" s="94"/>
      <c r="F513" s="90"/>
      <c r="G513" s="90"/>
      <c r="H513" s="90"/>
      <c r="I513" s="90"/>
      <c r="J513" s="90"/>
      <c r="K513" s="90"/>
      <c r="L513" s="90"/>
      <c r="M513" s="90"/>
      <c r="N513" s="90"/>
      <c r="O513" s="90"/>
      <c r="P513" s="90"/>
      <c r="Q513" s="90"/>
      <c r="R513" s="90"/>
      <c r="S513" s="90"/>
      <c r="T513" s="90"/>
      <c r="U513" s="90"/>
      <c r="V513" s="90"/>
      <c r="W513" s="90"/>
      <c r="X513" s="90"/>
      <c r="Y513" s="90"/>
      <c r="Z513" s="91"/>
    </row>
    <row r="514" spans="1:26" ht="14.4" x14ac:dyDescent="0.25">
      <c r="A514" s="92"/>
      <c r="B514" s="92"/>
      <c r="C514" s="93"/>
      <c r="D514" s="94"/>
      <c r="E514" s="94"/>
      <c r="F514" s="90"/>
      <c r="G514" s="90"/>
      <c r="H514" s="90"/>
      <c r="I514" s="90"/>
      <c r="J514" s="90"/>
      <c r="K514" s="90"/>
      <c r="L514" s="90"/>
      <c r="M514" s="90"/>
      <c r="N514" s="90"/>
      <c r="O514" s="90"/>
      <c r="P514" s="90"/>
      <c r="Q514" s="90"/>
      <c r="R514" s="90"/>
      <c r="S514" s="90"/>
      <c r="T514" s="90"/>
      <c r="U514" s="90"/>
      <c r="V514" s="90"/>
      <c r="W514" s="90"/>
      <c r="X514" s="90"/>
      <c r="Y514" s="90"/>
      <c r="Z514" s="91"/>
    </row>
    <row r="515" spans="1:26" ht="14.4" x14ac:dyDescent="0.25">
      <c r="A515" s="92"/>
      <c r="B515" s="92"/>
      <c r="C515" s="93"/>
      <c r="D515" s="94"/>
      <c r="E515" s="94"/>
      <c r="F515" s="90"/>
      <c r="G515" s="90"/>
      <c r="H515" s="90"/>
      <c r="I515" s="90"/>
      <c r="J515" s="90"/>
      <c r="K515" s="90"/>
      <c r="L515" s="90"/>
      <c r="M515" s="90"/>
      <c r="N515" s="90"/>
      <c r="O515" s="90"/>
      <c r="P515" s="90"/>
      <c r="Q515" s="90"/>
      <c r="R515" s="90"/>
      <c r="S515" s="90"/>
      <c r="T515" s="90"/>
      <c r="U515" s="90"/>
      <c r="V515" s="90"/>
      <c r="W515" s="90"/>
      <c r="X515" s="90"/>
      <c r="Y515" s="90"/>
      <c r="Z515" s="91"/>
    </row>
    <row r="516" spans="1:26" ht="14.4" x14ac:dyDescent="0.25">
      <c r="A516" s="92"/>
      <c r="B516" s="92"/>
      <c r="C516" s="93"/>
      <c r="D516" s="94"/>
      <c r="E516" s="94"/>
      <c r="F516" s="90"/>
      <c r="G516" s="90"/>
      <c r="H516" s="90"/>
      <c r="I516" s="90"/>
      <c r="J516" s="90"/>
      <c r="K516" s="90"/>
      <c r="L516" s="90"/>
      <c r="M516" s="90"/>
      <c r="N516" s="90"/>
      <c r="O516" s="90"/>
      <c r="P516" s="90"/>
      <c r="Q516" s="90"/>
      <c r="R516" s="90"/>
      <c r="S516" s="90"/>
      <c r="T516" s="90"/>
      <c r="U516" s="90"/>
      <c r="V516" s="90"/>
      <c r="W516" s="90"/>
      <c r="X516" s="90"/>
      <c r="Y516" s="90"/>
      <c r="Z516" s="91"/>
    </row>
    <row r="517" spans="1:26" ht="14.4" x14ac:dyDescent="0.25">
      <c r="A517" s="92"/>
      <c r="B517" s="92"/>
      <c r="C517" s="93"/>
      <c r="D517" s="94"/>
      <c r="E517" s="94"/>
      <c r="F517" s="90"/>
      <c r="G517" s="90"/>
      <c r="H517" s="90"/>
      <c r="I517" s="90"/>
      <c r="J517" s="90"/>
      <c r="K517" s="90"/>
      <c r="L517" s="90"/>
      <c r="M517" s="90"/>
      <c r="N517" s="90"/>
      <c r="O517" s="90"/>
      <c r="P517" s="90"/>
      <c r="Q517" s="90"/>
      <c r="R517" s="90"/>
      <c r="S517" s="90"/>
      <c r="T517" s="90"/>
      <c r="U517" s="90"/>
      <c r="V517" s="90"/>
      <c r="W517" s="90"/>
      <c r="X517" s="90"/>
      <c r="Y517" s="90"/>
      <c r="Z517" s="91"/>
    </row>
    <row r="518" spans="1:26" ht="14.4" x14ac:dyDescent="0.25">
      <c r="A518" s="92"/>
      <c r="B518" s="92"/>
      <c r="C518" s="93"/>
      <c r="D518" s="94"/>
      <c r="E518" s="94"/>
      <c r="F518" s="90"/>
      <c r="G518" s="90"/>
      <c r="H518" s="90"/>
      <c r="I518" s="90"/>
      <c r="J518" s="90"/>
      <c r="K518" s="90"/>
      <c r="L518" s="90"/>
      <c r="M518" s="90"/>
      <c r="N518" s="90"/>
      <c r="O518" s="90"/>
      <c r="P518" s="90"/>
      <c r="Q518" s="90"/>
      <c r="R518" s="90"/>
      <c r="S518" s="90"/>
      <c r="T518" s="90"/>
      <c r="U518" s="90"/>
      <c r="V518" s="90"/>
      <c r="W518" s="90"/>
      <c r="X518" s="90"/>
      <c r="Y518" s="90"/>
      <c r="Z518" s="91"/>
    </row>
    <row r="519" spans="1:26" ht="14.4" x14ac:dyDescent="0.25">
      <c r="A519" s="92"/>
      <c r="B519" s="92"/>
      <c r="C519" s="93"/>
      <c r="D519" s="94"/>
      <c r="E519" s="94"/>
      <c r="F519" s="90"/>
      <c r="G519" s="90"/>
      <c r="H519" s="90"/>
      <c r="I519" s="90"/>
      <c r="J519" s="90"/>
      <c r="K519" s="90"/>
      <c r="L519" s="90"/>
      <c r="M519" s="90"/>
      <c r="N519" s="90"/>
      <c r="O519" s="90"/>
      <c r="P519" s="90"/>
      <c r="Q519" s="90"/>
      <c r="R519" s="90"/>
      <c r="S519" s="90"/>
      <c r="T519" s="90"/>
      <c r="U519" s="90"/>
      <c r="V519" s="90"/>
      <c r="W519" s="90"/>
      <c r="X519" s="90"/>
      <c r="Y519" s="90"/>
      <c r="Z519" s="91"/>
    </row>
    <row r="520" spans="1:26" ht="14.4" x14ac:dyDescent="0.25">
      <c r="A520" s="92"/>
      <c r="B520" s="92"/>
      <c r="C520" s="93"/>
      <c r="D520" s="94"/>
      <c r="E520" s="94"/>
      <c r="F520" s="90"/>
      <c r="G520" s="90"/>
      <c r="H520" s="90"/>
      <c r="I520" s="90"/>
      <c r="J520" s="90"/>
      <c r="K520" s="90"/>
      <c r="L520" s="90"/>
      <c r="M520" s="90"/>
      <c r="N520" s="90"/>
      <c r="O520" s="90"/>
      <c r="P520" s="90"/>
      <c r="Q520" s="90"/>
      <c r="R520" s="90"/>
      <c r="S520" s="90"/>
      <c r="T520" s="90"/>
      <c r="U520" s="90"/>
      <c r="V520" s="90"/>
      <c r="W520" s="90"/>
      <c r="X520" s="90"/>
      <c r="Y520" s="90"/>
      <c r="Z520" s="91"/>
    </row>
    <row r="521" spans="1:26" ht="14.4" x14ac:dyDescent="0.25">
      <c r="A521" s="92"/>
      <c r="B521" s="92"/>
      <c r="C521" s="93"/>
      <c r="D521" s="94"/>
      <c r="E521" s="94"/>
      <c r="F521" s="90"/>
      <c r="G521" s="90"/>
      <c r="H521" s="90"/>
      <c r="I521" s="90"/>
      <c r="J521" s="90"/>
      <c r="K521" s="90"/>
      <c r="L521" s="90"/>
      <c r="M521" s="90"/>
      <c r="N521" s="90"/>
      <c r="O521" s="90"/>
      <c r="P521" s="90"/>
      <c r="Q521" s="90"/>
      <c r="R521" s="90"/>
      <c r="S521" s="90"/>
      <c r="T521" s="90"/>
      <c r="U521" s="90"/>
      <c r="V521" s="90"/>
      <c r="W521" s="90"/>
      <c r="X521" s="90"/>
      <c r="Y521" s="90"/>
      <c r="Z521" s="91"/>
    </row>
    <row r="522" spans="1:26" ht="14.4" x14ac:dyDescent="0.25">
      <c r="A522" s="92"/>
      <c r="B522" s="92"/>
      <c r="C522" s="93"/>
      <c r="D522" s="94"/>
      <c r="E522" s="94"/>
      <c r="F522" s="90"/>
      <c r="G522" s="90"/>
      <c r="H522" s="90"/>
      <c r="I522" s="90"/>
      <c r="J522" s="90"/>
      <c r="K522" s="90"/>
      <c r="L522" s="90"/>
      <c r="M522" s="90"/>
      <c r="N522" s="90"/>
      <c r="O522" s="90"/>
      <c r="P522" s="90"/>
      <c r="Q522" s="90"/>
      <c r="R522" s="90"/>
      <c r="S522" s="90"/>
      <c r="T522" s="90"/>
      <c r="U522" s="90"/>
      <c r="V522" s="90"/>
      <c r="W522" s="90"/>
      <c r="X522" s="90"/>
      <c r="Y522" s="90"/>
      <c r="Z522" s="91"/>
    </row>
    <row r="523" spans="1:26" ht="14.4" x14ac:dyDescent="0.25">
      <c r="A523" s="92"/>
      <c r="B523" s="92"/>
      <c r="C523" s="93"/>
      <c r="D523" s="94"/>
      <c r="E523" s="94"/>
      <c r="F523" s="90"/>
      <c r="G523" s="90"/>
      <c r="H523" s="90"/>
      <c r="I523" s="90"/>
      <c r="J523" s="90"/>
      <c r="K523" s="90"/>
      <c r="L523" s="90"/>
      <c r="M523" s="90"/>
      <c r="N523" s="90"/>
      <c r="O523" s="90"/>
      <c r="P523" s="90"/>
      <c r="Q523" s="90"/>
      <c r="R523" s="90"/>
      <c r="S523" s="90"/>
      <c r="T523" s="90"/>
      <c r="U523" s="90"/>
      <c r="V523" s="90"/>
      <c r="W523" s="90"/>
      <c r="X523" s="90"/>
      <c r="Y523" s="90"/>
      <c r="Z523" s="91"/>
    </row>
    <row r="524" spans="1:26" ht="14.4" x14ac:dyDescent="0.25">
      <c r="A524" s="92"/>
      <c r="B524" s="92"/>
      <c r="C524" s="93"/>
      <c r="D524" s="94"/>
      <c r="E524" s="94"/>
      <c r="F524" s="90"/>
      <c r="G524" s="90"/>
      <c r="H524" s="90"/>
      <c r="I524" s="90"/>
      <c r="J524" s="90"/>
      <c r="K524" s="90"/>
      <c r="L524" s="90"/>
      <c r="M524" s="90"/>
      <c r="N524" s="90"/>
      <c r="O524" s="90"/>
      <c r="P524" s="90"/>
      <c r="Q524" s="90"/>
      <c r="R524" s="90"/>
      <c r="S524" s="90"/>
      <c r="T524" s="90"/>
      <c r="U524" s="90"/>
      <c r="V524" s="90"/>
      <c r="W524" s="90"/>
      <c r="X524" s="90"/>
      <c r="Y524" s="90"/>
      <c r="Z524" s="91"/>
    </row>
    <row r="525" spans="1:26" ht="14.4" x14ac:dyDescent="0.25">
      <c r="A525" s="92"/>
      <c r="B525" s="92"/>
      <c r="C525" s="93"/>
      <c r="D525" s="94"/>
      <c r="E525" s="94"/>
      <c r="F525" s="90"/>
      <c r="G525" s="90"/>
      <c r="H525" s="90"/>
      <c r="I525" s="90"/>
      <c r="J525" s="90"/>
      <c r="K525" s="90"/>
      <c r="L525" s="90"/>
      <c r="M525" s="90"/>
      <c r="N525" s="90"/>
      <c r="O525" s="90"/>
      <c r="P525" s="90"/>
      <c r="Q525" s="90"/>
      <c r="R525" s="90"/>
      <c r="S525" s="90"/>
      <c r="T525" s="90"/>
      <c r="U525" s="90"/>
      <c r="V525" s="90"/>
      <c r="W525" s="90"/>
      <c r="X525" s="90"/>
      <c r="Y525" s="90"/>
      <c r="Z525" s="91"/>
    </row>
    <row r="526" spans="1:26" ht="14.4" x14ac:dyDescent="0.25">
      <c r="A526" s="92"/>
      <c r="B526" s="92"/>
      <c r="C526" s="93"/>
      <c r="D526" s="94"/>
      <c r="E526" s="94"/>
      <c r="F526" s="90"/>
      <c r="G526" s="90"/>
      <c r="H526" s="90"/>
      <c r="I526" s="90"/>
      <c r="J526" s="90"/>
      <c r="K526" s="90"/>
      <c r="L526" s="90"/>
      <c r="M526" s="90"/>
      <c r="N526" s="90"/>
      <c r="O526" s="90"/>
      <c r="P526" s="90"/>
      <c r="Q526" s="90"/>
      <c r="R526" s="90"/>
      <c r="S526" s="90"/>
      <c r="T526" s="90"/>
      <c r="U526" s="90"/>
      <c r="V526" s="90"/>
      <c r="W526" s="90"/>
      <c r="X526" s="90"/>
      <c r="Y526" s="90"/>
      <c r="Z526" s="91"/>
    </row>
    <row r="527" spans="1:26" ht="14.4" x14ac:dyDescent="0.25">
      <c r="A527" s="92"/>
      <c r="B527" s="92"/>
      <c r="C527" s="93"/>
      <c r="D527" s="94"/>
      <c r="E527" s="94"/>
      <c r="F527" s="90"/>
      <c r="G527" s="90"/>
      <c r="H527" s="90"/>
      <c r="I527" s="90"/>
      <c r="J527" s="90"/>
      <c r="K527" s="90"/>
      <c r="L527" s="90"/>
      <c r="M527" s="90"/>
      <c r="N527" s="90"/>
      <c r="O527" s="90"/>
      <c r="P527" s="90"/>
      <c r="Q527" s="90"/>
      <c r="R527" s="90"/>
      <c r="S527" s="90"/>
      <c r="T527" s="90"/>
      <c r="U527" s="90"/>
      <c r="V527" s="90"/>
      <c r="W527" s="90"/>
      <c r="X527" s="90"/>
      <c r="Y527" s="90"/>
      <c r="Z527" s="91"/>
    </row>
    <row r="528" spans="1:26" ht="14.4" x14ac:dyDescent="0.25">
      <c r="A528" s="92"/>
      <c r="B528" s="92"/>
      <c r="C528" s="93"/>
      <c r="D528" s="94"/>
      <c r="E528" s="94"/>
      <c r="F528" s="90"/>
      <c r="G528" s="90"/>
      <c r="H528" s="90"/>
      <c r="I528" s="90"/>
      <c r="J528" s="90"/>
      <c r="K528" s="90"/>
      <c r="L528" s="90"/>
      <c r="M528" s="90"/>
      <c r="N528" s="90"/>
      <c r="O528" s="90"/>
      <c r="P528" s="90"/>
      <c r="Q528" s="90"/>
      <c r="R528" s="90"/>
      <c r="S528" s="90"/>
      <c r="T528" s="90"/>
      <c r="U528" s="90"/>
      <c r="V528" s="90"/>
      <c r="W528" s="90"/>
      <c r="X528" s="90"/>
      <c r="Y528" s="90"/>
      <c r="Z528" s="91"/>
    </row>
    <row r="529" spans="1:26" ht="14.4" x14ac:dyDescent="0.25">
      <c r="A529" s="92"/>
      <c r="B529" s="92"/>
      <c r="C529" s="93"/>
      <c r="D529" s="94"/>
      <c r="E529" s="94"/>
      <c r="F529" s="90"/>
      <c r="G529" s="90"/>
      <c r="H529" s="90"/>
      <c r="I529" s="90"/>
      <c r="J529" s="90"/>
      <c r="K529" s="90"/>
      <c r="L529" s="90"/>
      <c r="M529" s="90"/>
      <c r="N529" s="90"/>
      <c r="O529" s="90"/>
      <c r="P529" s="90"/>
      <c r="Q529" s="90"/>
      <c r="R529" s="90"/>
      <c r="S529" s="90"/>
      <c r="T529" s="90"/>
      <c r="U529" s="90"/>
      <c r="V529" s="90"/>
      <c r="W529" s="90"/>
      <c r="X529" s="90"/>
      <c r="Y529" s="90"/>
      <c r="Z529" s="91"/>
    </row>
    <row r="530" spans="1:26" ht="14.4" x14ac:dyDescent="0.25">
      <c r="A530" s="92"/>
      <c r="B530" s="92"/>
      <c r="C530" s="93"/>
      <c r="D530" s="94"/>
      <c r="E530" s="94"/>
      <c r="F530" s="90"/>
      <c r="G530" s="90"/>
      <c r="H530" s="90"/>
      <c r="I530" s="90"/>
      <c r="J530" s="90"/>
      <c r="K530" s="90"/>
      <c r="L530" s="90"/>
      <c r="M530" s="90"/>
      <c r="N530" s="90"/>
      <c r="O530" s="90"/>
      <c r="P530" s="90"/>
      <c r="Q530" s="90"/>
      <c r="R530" s="90"/>
      <c r="S530" s="90"/>
      <c r="T530" s="90"/>
      <c r="U530" s="90"/>
      <c r="V530" s="90"/>
      <c r="W530" s="90"/>
      <c r="X530" s="90"/>
      <c r="Y530" s="90"/>
      <c r="Z530" s="91"/>
    </row>
    <row r="531" spans="1:26" ht="14.4" x14ac:dyDescent="0.25">
      <c r="A531" s="92"/>
      <c r="B531" s="92"/>
      <c r="C531" s="93"/>
      <c r="D531" s="94"/>
      <c r="E531" s="94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0"/>
      <c r="Q531" s="90"/>
      <c r="R531" s="90"/>
      <c r="S531" s="90"/>
      <c r="T531" s="90"/>
      <c r="U531" s="90"/>
      <c r="V531" s="90"/>
      <c r="W531" s="90"/>
      <c r="X531" s="90"/>
      <c r="Y531" s="90"/>
      <c r="Z531" s="91"/>
    </row>
    <row r="532" spans="1:26" ht="14.4" x14ac:dyDescent="0.25">
      <c r="A532" s="92"/>
      <c r="B532" s="92"/>
      <c r="C532" s="93"/>
      <c r="D532" s="94"/>
      <c r="E532" s="94"/>
      <c r="F532" s="90"/>
      <c r="G532" s="90"/>
      <c r="H532" s="90"/>
      <c r="I532" s="90"/>
      <c r="J532" s="90"/>
      <c r="K532" s="90"/>
      <c r="L532" s="90"/>
      <c r="M532" s="90"/>
      <c r="N532" s="90"/>
      <c r="O532" s="90"/>
      <c r="P532" s="90"/>
      <c r="Q532" s="90"/>
      <c r="R532" s="90"/>
      <c r="S532" s="90"/>
      <c r="T532" s="90"/>
      <c r="U532" s="90"/>
      <c r="V532" s="90"/>
      <c r="W532" s="90"/>
      <c r="X532" s="90"/>
      <c r="Y532" s="90"/>
      <c r="Z532" s="91"/>
    </row>
    <row r="533" spans="1:26" ht="14.4" x14ac:dyDescent="0.25">
      <c r="A533" s="92"/>
      <c r="B533" s="92"/>
      <c r="C533" s="93"/>
      <c r="D533" s="94"/>
      <c r="E533" s="94"/>
      <c r="F533" s="90"/>
      <c r="G533" s="90"/>
      <c r="H533" s="90"/>
      <c r="I533" s="90"/>
      <c r="J533" s="90"/>
      <c r="K533" s="90"/>
      <c r="L533" s="90"/>
      <c r="M533" s="90"/>
      <c r="N533" s="90"/>
      <c r="O533" s="90"/>
      <c r="P533" s="90"/>
      <c r="Q533" s="90"/>
      <c r="R533" s="90"/>
      <c r="S533" s="90"/>
      <c r="T533" s="90"/>
      <c r="U533" s="90"/>
      <c r="V533" s="90"/>
      <c r="W533" s="90"/>
      <c r="X533" s="90"/>
      <c r="Y533" s="90"/>
      <c r="Z533" s="91"/>
    </row>
    <row r="534" spans="1:26" ht="14.4" x14ac:dyDescent="0.25">
      <c r="A534" s="92"/>
      <c r="B534" s="92"/>
      <c r="C534" s="93"/>
      <c r="D534" s="94"/>
      <c r="E534" s="94"/>
      <c r="F534" s="90"/>
      <c r="G534" s="90"/>
      <c r="H534" s="90"/>
      <c r="I534" s="90"/>
      <c r="J534" s="90"/>
      <c r="K534" s="90"/>
      <c r="L534" s="90"/>
      <c r="M534" s="90"/>
      <c r="N534" s="90"/>
      <c r="O534" s="90"/>
      <c r="P534" s="90"/>
      <c r="Q534" s="90"/>
      <c r="R534" s="90"/>
      <c r="S534" s="90"/>
      <c r="T534" s="90"/>
      <c r="U534" s="90"/>
      <c r="V534" s="90"/>
      <c r="W534" s="90"/>
      <c r="X534" s="90"/>
      <c r="Y534" s="90"/>
      <c r="Z534" s="91"/>
    </row>
    <row r="535" spans="1:26" ht="14.4" x14ac:dyDescent="0.25">
      <c r="A535" s="92"/>
      <c r="B535" s="92"/>
      <c r="C535" s="93"/>
      <c r="D535" s="94"/>
      <c r="E535" s="94"/>
      <c r="F535" s="90"/>
      <c r="G535" s="90"/>
      <c r="H535" s="90"/>
      <c r="I535" s="90"/>
      <c r="J535" s="90"/>
      <c r="K535" s="90"/>
      <c r="L535" s="90"/>
      <c r="M535" s="90"/>
      <c r="N535" s="90"/>
      <c r="O535" s="90"/>
      <c r="P535" s="90"/>
      <c r="Q535" s="90"/>
      <c r="R535" s="90"/>
      <c r="S535" s="90"/>
      <c r="T535" s="90"/>
      <c r="U535" s="90"/>
      <c r="V535" s="90"/>
      <c r="W535" s="90"/>
      <c r="X535" s="90"/>
      <c r="Y535" s="90"/>
      <c r="Z535" s="91"/>
    </row>
    <row r="536" spans="1:26" ht="14.4" x14ac:dyDescent="0.25">
      <c r="A536" s="92"/>
      <c r="B536" s="92"/>
      <c r="C536" s="93"/>
      <c r="D536" s="94"/>
      <c r="E536" s="94"/>
      <c r="F536" s="90"/>
      <c r="G536" s="90"/>
      <c r="H536" s="90"/>
      <c r="I536" s="90"/>
      <c r="J536" s="90"/>
      <c r="K536" s="90"/>
      <c r="L536" s="90"/>
      <c r="M536" s="90"/>
      <c r="N536" s="90"/>
      <c r="O536" s="90"/>
      <c r="P536" s="90"/>
      <c r="Q536" s="90"/>
      <c r="R536" s="90"/>
      <c r="S536" s="90"/>
      <c r="T536" s="90"/>
      <c r="U536" s="90"/>
      <c r="V536" s="90"/>
      <c r="W536" s="90"/>
      <c r="X536" s="90"/>
      <c r="Y536" s="90"/>
      <c r="Z536" s="91"/>
    </row>
    <row r="537" spans="1:26" ht="14.4" x14ac:dyDescent="0.25">
      <c r="A537" s="92"/>
      <c r="B537" s="92"/>
      <c r="C537" s="93"/>
      <c r="D537" s="94"/>
      <c r="E537" s="94"/>
      <c r="F537" s="90"/>
      <c r="G537" s="90"/>
      <c r="H537" s="90"/>
      <c r="I537" s="90"/>
      <c r="J537" s="90"/>
      <c r="K537" s="90"/>
      <c r="L537" s="90"/>
      <c r="M537" s="90"/>
      <c r="N537" s="90"/>
      <c r="O537" s="90"/>
      <c r="P537" s="90"/>
      <c r="Q537" s="90"/>
      <c r="R537" s="90"/>
      <c r="S537" s="90"/>
      <c r="T537" s="90"/>
      <c r="U537" s="90"/>
      <c r="V537" s="90"/>
      <c r="W537" s="90"/>
      <c r="X537" s="90"/>
      <c r="Y537" s="90"/>
      <c r="Z537" s="91"/>
    </row>
    <row r="538" spans="1:26" ht="14.4" x14ac:dyDescent="0.25">
      <c r="A538" s="92"/>
      <c r="B538" s="92"/>
      <c r="C538" s="93"/>
      <c r="D538" s="94"/>
      <c r="E538" s="94"/>
      <c r="F538" s="90"/>
      <c r="G538" s="90"/>
      <c r="H538" s="90"/>
      <c r="I538" s="90"/>
      <c r="J538" s="90"/>
      <c r="K538" s="90"/>
      <c r="L538" s="90"/>
      <c r="M538" s="90"/>
      <c r="N538" s="90"/>
      <c r="O538" s="90"/>
      <c r="P538" s="90"/>
      <c r="Q538" s="90"/>
      <c r="R538" s="90"/>
      <c r="S538" s="90"/>
      <c r="T538" s="90"/>
      <c r="U538" s="90"/>
      <c r="V538" s="90"/>
      <c r="W538" s="90"/>
      <c r="X538" s="90"/>
      <c r="Y538" s="90"/>
      <c r="Z538" s="91"/>
    </row>
    <row r="539" spans="1:26" ht="14.4" x14ac:dyDescent="0.25">
      <c r="A539" s="92"/>
      <c r="B539" s="92"/>
      <c r="C539" s="93"/>
      <c r="D539" s="94"/>
      <c r="E539" s="94"/>
      <c r="F539" s="90"/>
      <c r="G539" s="90"/>
      <c r="H539" s="90"/>
      <c r="I539" s="90"/>
      <c r="J539" s="90"/>
      <c r="K539" s="90"/>
      <c r="L539" s="90"/>
      <c r="M539" s="90"/>
      <c r="N539" s="90"/>
      <c r="O539" s="90"/>
      <c r="P539" s="90"/>
      <c r="Q539" s="90"/>
      <c r="R539" s="90"/>
      <c r="S539" s="90"/>
      <c r="T539" s="90"/>
      <c r="U539" s="90"/>
      <c r="V539" s="90"/>
      <c r="W539" s="90"/>
      <c r="X539" s="90"/>
      <c r="Y539" s="90"/>
      <c r="Z539" s="91"/>
    </row>
    <row r="540" spans="1:26" ht="14.4" x14ac:dyDescent="0.25">
      <c r="A540" s="92"/>
      <c r="B540" s="92"/>
      <c r="C540" s="93"/>
      <c r="D540" s="94"/>
      <c r="E540" s="94"/>
      <c r="F540" s="90"/>
      <c r="G540" s="90"/>
      <c r="H540" s="90"/>
      <c r="I540" s="90"/>
      <c r="J540" s="90"/>
      <c r="K540" s="90"/>
      <c r="L540" s="90"/>
      <c r="M540" s="90"/>
      <c r="N540" s="90"/>
      <c r="O540" s="90"/>
      <c r="P540" s="90"/>
      <c r="Q540" s="90"/>
      <c r="R540" s="90"/>
      <c r="S540" s="90"/>
      <c r="T540" s="90"/>
      <c r="U540" s="90"/>
      <c r="V540" s="90"/>
      <c r="W540" s="90"/>
      <c r="X540" s="90"/>
      <c r="Y540" s="90"/>
      <c r="Z540" s="91"/>
    </row>
    <row r="541" spans="1:26" ht="14.4" x14ac:dyDescent="0.25">
      <c r="A541" s="92"/>
      <c r="B541" s="92"/>
      <c r="C541" s="93"/>
      <c r="D541" s="94"/>
      <c r="E541" s="94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90"/>
      <c r="S541" s="90"/>
      <c r="T541" s="90"/>
      <c r="U541" s="90"/>
      <c r="V541" s="90"/>
      <c r="W541" s="90"/>
      <c r="X541" s="90"/>
      <c r="Y541" s="90"/>
      <c r="Z541" s="91"/>
    </row>
    <row r="542" spans="1:26" ht="14.4" x14ac:dyDescent="0.25">
      <c r="A542" s="92"/>
      <c r="B542" s="92"/>
      <c r="C542" s="93"/>
      <c r="D542" s="94"/>
      <c r="E542" s="94"/>
      <c r="F542" s="90"/>
      <c r="G542" s="90"/>
      <c r="H542" s="90"/>
      <c r="I542" s="90"/>
      <c r="J542" s="90"/>
      <c r="K542" s="90"/>
      <c r="L542" s="90"/>
      <c r="M542" s="90"/>
      <c r="N542" s="90"/>
      <c r="O542" s="90"/>
      <c r="P542" s="90"/>
      <c r="Q542" s="90"/>
      <c r="R542" s="90"/>
      <c r="S542" s="90"/>
      <c r="T542" s="90"/>
      <c r="U542" s="90"/>
      <c r="V542" s="90"/>
      <c r="W542" s="90"/>
      <c r="X542" s="90"/>
      <c r="Y542" s="90"/>
      <c r="Z542" s="91"/>
    </row>
    <row r="543" spans="1:26" ht="14.4" x14ac:dyDescent="0.25">
      <c r="A543" s="92"/>
      <c r="B543" s="92"/>
      <c r="C543" s="93"/>
      <c r="D543" s="94"/>
      <c r="E543" s="94"/>
      <c r="F543" s="90"/>
      <c r="G543" s="90"/>
      <c r="H543" s="90"/>
      <c r="I543" s="90"/>
      <c r="J543" s="90"/>
      <c r="K543" s="90"/>
      <c r="L543" s="90"/>
      <c r="M543" s="90"/>
      <c r="N543" s="90"/>
      <c r="O543" s="90"/>
      <c r="P543" s="90"/>
      <c r="Q543" s="90"/>
      <c r="R543" s="90"/>
      <c r="S543" s="90"/>
      <c r="T543" s="90"/>
      <c r="U543" s="90"/>
      <c r="V543" s="90"/>
      <c r="W543" s="90"/>
      <c r="X543" s="90"/>
      <c r="Y543" s="90"/>
      <c r="Z543" s="91"/>
    </row>
    <row r="544" spans="1:26" ht="14.4" x14ac:dyDescent="0.25">
      <c r="A544" s="92"/>
      <c r="B544" s="92"/>
      <c r="C544" s="93"/>
      <c r="D544" s="94"/>
      <c r="E544" s="94"/>
      <c r="F544" s="90"/>
      <c r="G544" s="90"/>
      <c r="H544" s="90"/>
      <c r="I544" s="90"/>
      <c r="J544" s="90"/>
      <c r="K544" s="90"/>
      <c r="L544" s="90"/>
      <c r="M544" s="90"/>
      <c r="N544" s="90"/>
      <c r="O544" s="90"/>
      <c r="P544" s="90"/>
      <c r="Q544" s="90"/>
      <c r="R544" s="90"/>
      <c r="S544" s="90"/>
      <c r="T544" s="90"/>
      <c r="U544" s="90"/>
      <c r="V544" s="90"/>
      <c r="W544" s="90"/>
      <c r="X544" s="90"/>
      <c r="Y544" s="90"/>
      <c r="Z544" s="91"/>
    </row>
    <row r="545" spans="1:26" ht="14.4" x14ac:dyDescent="0.25">
      <c r="A545" s="92"/>
      <c r="B545" s="92"/>
      <c r="C545" s="93"/>
      <c r="D545" s="94"/>
      <c r="E545" s="94"/>
      <c r="F545" s="90"/>
      <c r="G545" s="90"/>
      <c r="H545" s="90"/>
      <c r="I545" s="90"/>
      <c r="J545" s="90"/>
      <c r="K545" s="90"/>
      <c r="L545" s="90"/>
      <c r="M545" s="90"/>
      <c r="N545" s="90"/>
      <c r="O545" s="90"/>
      <c r="P545" s="90"/>
      <c r="Q545" s="90"/>
      <c r="R545" s="90"/>
      <c r="S545" s="90"/>
      <c r="T545" s="90"/>
      <c r="U545" s="90"/>
      <c r="V545" s="90"/>
      <c r="W545" s="90"/>
      <c r="X545" s="90"/>
      <c r="Y545" s="90"/>
      <c r="Z545" s="91"/>
    </row>
    <row r="546" spans="1:26" ht="14.4" x14ac:dyDescent="0.25">
      <c r="A546" s="92"/>
      <c r="B546" s="92"/>
      <c r="C546" s="93"/>
      <c r="D546" s="94"/>
      <c r="E546" s="94"/>
      <c r="F546" s="90"/>
      <c r="G546" s="90"/>
      <c r="H546" s="90"/>
      <c r="I546" s="90"/>
      <c r="J546" s="90"/>
      <c r="K546" s="90"/>
      <c r="L546" s="90"/>
      <c r="M546" s="90"/>
      <c r="N546" s="90"/>
      <c r="O546" s="90"/>
      <c r="P546" s="90"/>
      <c r="Q546" s="90"/>
      <c r="R546" s="90"/>
      <c r="S546" s="90"/>
      <c r="T546" s="90"/>
      <c r="U546" s="90"/>
      <c r="V546" s="90"/>
      <c r="W546" s="90"/>
      <c r="X546" s="90"/>
      <c r="Y546" s="90"/>
      <c r="Z546" s="91"/>
    </row>
    <row r="547" spans="1:26" ht="14.4" x14ac:dyDescent="0.25">
      <c r="A547" s="92"/>
      <c r="B547" s="92"/>
      <c r="C547" s="93"/>
      <c r="D547" s="94"/>
      <c r="E547" s="94"/>
      <c r="F547" s="90"/>
      <c r="G547" s="90"/>
      <c r="H547" s="90"/>
      <c r="I547" s="90"/>
      <c r="J547" s="90"/>
      <c r="K547" s="90"/>
      <c r="L547" s="90"/>
      <c r="M547" s="90"/>
      <c r="N547" s="90"/>
      <c r="O547" s="90"/>
      <c r="P547" s="90"/>
      <c r="Q547" s="90"/>
      <c r="R547" s="90"/>
      <c r="S547" s="90"/>
      <c r="T547" s="90"/>
      <c r="U547" s="90"/>
      <c r="V547" s="90"/>
      <c r="W547" s="90"/>
      <c r="X547" s="90"/>
      <c r="Y547" s="90"/>
      <c r="Z547" s="91"/>
    </row>
    <row r="548" spans="1:26" ht="14.4" x14ac:dyDescent="0.25">
      <c r="A548" s="92"/>
      <c r="B548" s="92"/>
      <c r="C548" s="93"/>
      <c r="D548" s="94"/>
      <c r="E548" s="94"/>
      <c r="F548" s="90"/>
      <c r="G548" s="90"/>
      <c r="H548" s="90"/>
      <c r="I548" s="90"/>
      <c r="J548" s="90"/>
      <c r="K548" s="90"/>
      <c r="L548" s="90"/>
      <c r="M548" s="90"/>
      <c r="N548" s="90"/>
      <c r="O548" s="90"/>
      <c r="P548" s="90"/>
      <c r="Q548" s="90"/>
      <c r="R548" s="90"/>
      <c r="S548" s="90"/>
      <c r="T548" s="90"/>
      <c r="U548" s="90"/>
      <c r="V548" s="90"/>
      <c r="W548" s="90"/>
      <c r="X548" s="90"/>
      <c r="Y548" s="90"/>
      <c r="Z548" s="91"/>
    </row>
    <row r="549" spans="1:26" ht="14.4" x14ac:dyDescent="0.25">
      <c r="A549" s="92"/>
      <c r="B549" s="92"/>
      <c r="C549" s="93"/>
      <c r="D549" s="94"/>
      <c r="E549" s="94"/>
      <c r="F549" s="90"/>
      <c r="G549" s="90"/>
      <c r="H549" s="90"/>
      <c r="I549" s="90"/>
      <c r="J549" s="90"/>
      <c r="K549" s="90"/>
      <c r="L549" s="90"/>
      <c r="M549" s="90"/>
      <c r="N549" s="90"/>
      <c r="O549" s="90"/>
      <c r="P549" s="90"/>
      <c r="Q549" s="90"/>
      <c r="R549" s="90"/>
      <c r="S549" s="90"/>
      <c r="T549" s="90"/>
      <c r="U549" s="90"/>
      <c r="V549" s="90"/>
      <c r="W549" s="90"/>
      <c r="X549" s="90"/>
      <c r="Y549" s="90"/>
      <c r="Z549" s="91"/>
    </row>
    <row r="550" spans="1:26" ht="14.4" x14ac:dyDescent="0.25">
      <c r="A550" s="92"/>
      <c r="B550" s="92"/>
      <c r="C550" s="93"/>
      <c r="D550" s="94"/>
      <c r="E550" s="94"/>
      <c r="F550" s="90"/>
      <c r="G550" s="90"/>
      <c r="H550" s="90"/>
      <c r="I550" s="90"/>
      <c r="J550" s="90"/>
      <c r="K550" s="90"/>
      <c r="L550" s="90"/>
      <c r="M550" s="90"/>
      <c r="N550" s="90"/>
      <c r="O550" s="90"/>
      <c r="P550" s="90"/>
      <c r="Q550" s="90"/>
      <c r="R550" s="90"/>
      <c r="S550" s="90"/>
      <c r="T550" s="90"/>
      <c r="U550" s="90"/>
      <c r="V550" s="90"/>
      <c r="W550" s="90"/>
      <c r="X550" s="90"/>
      <c r="Y550" s="90"/>
      <c r="Z550" s="91"/>
    </row>
    <row r="551" spans="1:26" ht="14.4" x14ac:dyDescent="0.25">
      <c r="A551" s="92"/>
      <c r="B551" s="92"/>
      <c r="C551" s="93"/>
      <c r="D551" s="94"/>
      <c r="E551" s="94"/>
      <c r="F551" s="90"/>
      <c r="G551" s="90"/>
      <c r="H551" s="90"/>
      <c r="I551" s="90"/>
      <c r="J551" s="90"/>
      <c r="K551" s="90"/>
      <c r="L551" s="90"/>
      <c r="M551" s="90"/>
      <c r="N551" s="90"/>
      <c r="O551" s="90"/>
      <c r="P551" s="90"/>
      <c r="Q551" s="90"/>
      <c r="R551" s="90"/>
      <c r="S551" s="90"/>
      <c r="T551" s="90"/>
      <c r="U551" s="90"/>
      <c r="V551" s="90"/>
      <c r="W551" s="90"/>
      <c r="X551" s="90"/>
      <c r="Y551" s="90"/>
      <c r="Z551" s="91"/>
    </row>
    <row r="552" spans="1:26" ht="14.4" x14ac:dyDescent="0.25">
      <c r="A552" s="92"/>
      <c r="B552" s="92"/>
      <c r="C552" s="93"/>
      <c r="D552" s="94"/>
      <c r="E552" s="94"/>
      <c r="F552" s="90"/>
      <c r="G552" s="90"/>
      <c r="H552" s="90"/>
      <c r="I552" s="90"/>
      <c r="J552" s="90"/>
      <c r="K552" s="90"/>
      <c r="L552" s="90"/>
      <c r="M552" s="90"/>
      <c r="N552" s="90"/>
      <c r="O552" s="90"/>
      <c r="P552" s="90"/>
      <c r="Q552" s="90"/>
      <c r="R552" s="90"/>
      <c r="S552" s="90"/>
      <c r="T552" s="90"/>
      <c r="U552" s="90"/>
      <c r="V552" s="90"/>
      <c r="W552" s="90"/>
      <c r="X552" s="90"/>
      <c r="Y552" s="90"/>
      <c r="Z552" s="91"/>
    </row>
    <row r="553" spans="1:26" ht="14.4" x14ac:dyDescent="0.25">
      <c r="A553" s="92"/>
      <c r="B553" s="92"/>
      <c r="C553" s="93"/>
      <c r="D553" s="94"/>
      <c r="E553" s="94"/>
      <c r="F553" s="90"/>
      <c r="G553" s="90"/>
      <c r="H553" s="90"/>
      <c r="I553" s="90"/>
      <c r="J553" s="90"/>
      <c r="K553" s="90"/>
      <c r="L553" s="90"/>
      <c r="M553" s="90"/>
      <c r="N553" s="90"/>
      <c r="O553" s="90"/>
      <c r="P553" s="90"/>
      <c r="Q553" s="90"/>
      <c r="R553" s="90"/>
      <c r="S553" s="90"/>
      <c r="T553" s="90"/>
      <c r="U553" s="90"/>
      <c r="V553" s="90"/>
      <c r="W553" s="90"/>
      <c r="X553" s="90"/>
      <c r="Y553" s="90"/>
      <c r="Z553" s="91"/>
    </row>
    <row r="554" spans="1:26" ht="14.4" x14ac:dyDescent="0.25">
      <c r="A554" s="92"/>
      <c r="B554" s="92"/>
      <c r="C554" s="93"/>
      <c r="D554" s="94"/>
      <c r="E554" s="94"/>
      <c r="F554" s="90"/>
      <c r="G554" s="90"/>
      <c r="H554" s="90"/>
      <c r="I554" s="90"/>
      <c r="J554" s="90"/>
      <c r="K554" s="90"/>
      <c r="L554" s="90"/>
      <c r="M554" s="90"/>
      <c r="N554" s="90"/>
      <c r="O554" s="90"/>
      <c r="P554" s="90"/>
      <c r="Q554" s="90"/>
      <c r="R554" s="90"/>
      <c r="S554" s="90"/>
      <c r="T554" s="90"/>
      <c r="U554" s="90"/>
      <c r="V554" s="90"/>
      <c r="W554" s="90"/>
      <c r="X554" s="90"/>
      <c r="Y554" s="90"/>
      <c r="Z554" s="91"/>
    </row>
    <row r="555" spans="1:26" ht="14.4" x14ac:dyDescent="0.25">
      <c r="A555" s="92"/>
      <c r="B555" s="92"/>
      <c r="C555" s="93"/>
      <c r="D555" s="94"/>
      <c r="E555" s="94"/>
      <c r="F555" s="90"/>
      <c r="G555" s="90"/>
      <c r="H555" s="90"/>
      <c r="I555" s="90"/>
      <c r="J555" s="90"/>
      <c r="K555" s="90"/>
      <c r="L555" s="90"/>
      <c r="M555" s="90"/>
      <c r="N555" s="90"/>
      <c r="O555" s="90"/>
      <c r="P555" s="90"/>
      <c r="Q555" s="90"/>
      <c r="R555" s="90"/>
      <c r="S555" s="90"/>
      <c r="T555" s="90"/>
      <c r="U555" s="90"/>
      <c r="V555" s="90"/>
      <c r="W555" s="90"/>
      <c r="X555" s="90"/>
      <c r="Y555" s="90"/>
      <c r="Z555" s="91"/>
    </row>
    <row r="556" spans="1:26" ht="14.4" x14ac:dyDescent="0.25">
      <c r="A556" s="92"/>
      <c r="B556" s="92"/>
      <c r="C556" s="93"/>
      <c r="D556" s="94"/>
      <c r="E556" s="94"/>
      <c r="F556" s="90"/>
      <c r="G556" s="90"/>
      <c r="H556" s="90"/>
      <c r="I556" s="90"/>
      <c r="J556" s="90"/>
      <c r="K556" s="90"/>
      <c r="L556" s="90"/>
      <c r="M556" s="90"/>
      <c r="N556" s="90"/>
      <c r="O556" s="90"/>
      <c r="P556" s="90"/>
      <c r="Q556" s="90"/>
      <c r="R556" s="90"/>
      <c r="S556" s="90"/>
      <c r="T556" s="90"/>
      <c r="U556" s="90"/>
      <c r="V556" s="90"/>
      <c r="W556" s="90"/>
      <c r="X556" s="90"/>
      <c r="Y556" s="90"/>
      <c r="Z556" s="91"/>
    </row>
    <row r="557" spans="1:26" ht="14.4" x14ac:dyDescent="0.25">
      <c r="A557" s="92"/>
      <c r="B557" s="92"/>
      <c r="C557" s="93"/>
      <c r="D557" s="94"/>
      <c r="E557" s="94"/>
      <c r="F557" s="90"/>
      <c r="G557" s="90"/>
      <c r="H557" s="90"/>
      <c r="I557" s="90"/>
      <c r="J557" s="90"/>
      <c r="K557" s="90"/>
      <c r="L557" s="90"/>
      <c r="M557" s="90"/>
      <c r="N557" s="90"/>
      <c r="O557" s="90"/>
      <c r="P557" s="90"/>
      <c r="Q557" s="90"/>
      <c r="R557" s="90"/>
      <c r="S557" s="90"/>
      <c r="T557" s="90"/>
      <c r="U557" s="90"/>
      <c r="V557" s="90"/>
      <c r="W557" s="90"/>
      <c r="X557" s="90"/>
      <c r="Y557" s="90"/>
      <c r="Z557" s="91"/>
    </row>
    <row r="558" spans="1:26" ht="14.4" x14ac:dyDescent="0.25">
      <c r="A558" s="92"/>
      <c r="B558" s="92"/>
      <c r="C558" s="93"/>
      <c r="D558" s="94"/>
      <c r="E558" s="94"/>
      <c r="F558" s="90"/>
      <c r="G558" s="90"/>
      <c r="H558" s="90"/>
      <c r="I558" s="90"/>
      <c r="J558" s="90"/>
      <c r="K558" s="90"/>
      <c r="L558" s="90"/>
      <c r="M558" s="90"/>
      <c r="N558" s="90"/>
      <c r="O558" s="90"/>
      <c r="P558" s="90"/>
      <c r="Q558" s="90"/>
      <c r="R558" s="90"/>
      <c r="S558" s="90"/>
      <c r="T558" s="90"/>
      <c r="U558" s="90"/>
      <c r="V558" s="90"/>
      <c r="W558" s="90"/>
      <c r="X558" s="90"/>
      <c r="Y558" s="90"/>
      <c r="Z558" s="91"/>
    </row>
    <row r="559" spans="1:26" ht="14.4" x14ac:dyDescent="0.25">
      <c r="A559" s="92"/>
      <c r="B559" s="92"/>
      <c r="C559" s="93"/>
      <c r="D559" s="94"/>
      <c r="E559" s="94"/>
      <c r="F559" s="90"/>
      <c r="G559" s="90"/>
      <c r="H559" s="90"/>
      <c r="I559" s="90"/>
      <c r="J559" s="90"/>
      <c r="K559" s="90"/>
      <c r="L559" s="90"/>
      <c r="M559" s="90"/>
      <c r="N559" s="90"/>
      <c r="O559" s="90"/>
      <c r="P559" s="90"/>
      <c r="Q559" s="90"/>
      <c r="R559" s="90"/>
      <c r="S559" s="90"/>
      <c r="T559" s="90"/>
      <c r="U559" s="90"/>
      <c r="V559" s="90"/>
      <c r="W559" s="90"/>
      <c r="X559" s="90"/>
      <c r="Y559" s="90"/>
      <c r="Z559" s="91"/>
    </row>
    <row r="560" spans="1:26" ht="14.4" x14ac:dyDescent="0.25">
      <c r="A560" s="92"/>
      <c r="B560" s="92"/>
      <c r="C560" s="93"/>
      <c r="D560" s="94"/>
      <c r="E560" s="94"/>
      <c r="F560" s="90"/>
      <c r="G560" s="90"/>
      <c r="H560" s="90"/>
      <c r="I560" s="90"/>
      <c r="J560" s="90"/>
      <c r="K560" s="90"/>
      <c r="L560" s="90"/>
      <c r="M560" s="90"/>
      <c r="N560" s="90"/>
      <c r="O560" s="90"/>
      <c r="P560" s="90"/>
      <c r="Q560" s="90"/>
      <c r="R560" s="90"/>
      <c r="S560" s="90"/>
      <c r="T560" s="90"/>
      <c r="U560" s="90"/>
      <c r="V560" s="90"/>
      <c r="W560" s="90"/>
      <c r="X560" s="90"/>
      <c r="Y560" s="90"/>
      <c r="Z560" s="91"/>
    </row>
    <row r="561" spans="1:26" ht="14.4" x14ac:dyDescent="0.25">
      <c r="A561" s="92"/>
      <c r="B561" s="92"/>
      <c r="C561" s="93"/>
      <c r="D561" s="94"/>
      <c r="E561" s="94"/>
      <c r="F561" s="90"/>
      <c r="G561" s="90"/>
      <c r="H561" s="90"/>
      <c r="I561" s="90"/>
      <c r="J561" s="90"/>
      <c r="K561" s="90"/>
      <c r="L561" s="90"/>
      <c r="M561" s="90"/>
      <c r="N561" s="90"/>
      <c r="O561" s="90"/>
      <c r="P561" s="90"/>
      <c r="Q561" s="90"/>
      <c r="R561" s="90"/>
      <c r="S561" s="90"/>
      <c r="T561" s="90"/>
      <c r="U561" s="90"/>
      <c r="V561" s="90"/>
      <c r="W561" s="90"/>
      <c r="X561" s="90"/>
      <c r="Y561" s="90"/>
      <c r="Z561" s="91"/>
    </row>
    <row r="562" spans="1:26" ht="14.4" x14ac:dyDescent="0.25">
      <c r="A562" s="92"/>
      <c r="B562" s="92"/>
      <c r="C562" s="93"/>
      <c r="D562" s="94"/>
      <c r="E562" s="94"/>
      <c r="F562" s="90"/>
      <c r="G562" s="90"/>
      <c r="H562" s="90"/>
      <c r="I562" s="90"/>
      <c r="J562" s="90"/>
      <c r="K562" s="90"/>
      <c r="L562" s="90"/>
      <c r="M562" s="90"/>
      <c r="N562" s="90"/>
      <c r="O562" s="90"/>
      <c r="P562" s="90"/>
      <c r="Q562" s="90"/>
      <c r="R562" s="90"/>
      <c r="S562" s="90"/>
      <c r="T562" s="90"/>
      <c r="U562" s="90"/>
      <c r="V562" s="90"/>
      <c r="W562" s="90"/>
      <c r="X562" s="90"/>
      <c r="Y562" s="90"/>
      <c r="Z562" s="91"/>
    </row>
    <row r="563" spans="1:26" ht="14.4" x14ac:dyDescent="0.25">
      <c r="A563" s="92"/>
      <c r="B563" s="92"/>
      <c r="C563" s="93"/>
      <c r="D563" s="94"/>
      <c r="E563" s="94"/>
      <c r="F563" s="90"/>
      <c r="G563" s="90"/>
      <c r="H563" s="90"/>
      <c r="I563" s="90"/>
      <c r="J563" s="90"/>
      <c r="K563" s="90"/>
      <c r="L563" s="90"/>
      <c r="M563" s="90"/>
      <c r="N563" s="90"/>
      <c r="O563" s="90"/>
      <c r="P563" s="90"/>
      <c r="Q563" s="90"/>
      <c r="R563" s="90"/>
      <c r="S563" s="90"/>
      <c r="T563" s="90"/>
      <c r="U563" s="90"/>
      <c r="V563" s="90"/>
      <c r="W563" s="90"/>
      <c r="X563" s="90"/>
      <c r="Y563" s="90"/>
      <c r="Z563" s="91"/>
    </row>
    <row r="564" spans="1:26" ht="14.4" x14ac:dyDescent="0.25">
      <c r="A564" s="92"/>
      <c r="B564" s="92"/>
      <c r="C564" s="93"/>
      <c r="D564" s="94"/>
      <c r="E564" s="94"/>
      <c r="F564" s="90"/>
      <c r="G564" s="90"/>
      <c r="H564" s="90"/>
      <c r="I564" s="90"/>
      <c r="J564" s="90"/>
      <c r="K564" s="90"/>
      <c r="L564" s="90"/>
      <c r="M564" s="90"/>
      <c r="N564" s="90"/>
      <c r="O564" s="90"/>
      <c r="P564" s="90"/>
      <c r="Q564" s="90"/>
      <c r="R564" s="90"/>
      <c r="S564" s="90"/>
      <c r="T564" s="90"/>
      <c r="U564" s="90"/>
      <c r="V564" s="90"/>
      <c r="W564" s="90"/>
      <c r="X564" s="90"/>
      <c r="Y564" s="90"/>
      <c r="Z564" s="91"/>
    </row>
    <row r="565" spans="1:26" ht="14.4" x14ac:dyDescent="0.25">
      <c r="A565" s="92"/>
      <c r="B565" s="92"/>
      <c r="C565" s="93"/>
      <c r="D565" s="94"/>
      <c r="E565" s="94"/>
      <c r="F565" s="90"/>
      <c r="G565" s="90"/>
      <c r="H565" s="90"/>
      <c r="I565" s="90"/>
      <c r="J565" s="90"/>
      <c r="K565" s="90"/>
      <c r="L565" s="90"/>
      <c r="M565" s="90"/>
      <c r="N565" s="90"/>
      <c r="O565" s="90"/>
      <c r="P565" s="90"/>
      <c r="Q565" s="90"/>
      <c r="R565" s="90"/>
      <c r="S565" s="90"/>
      <c r="T565" s="90"/>
      <c r="U565" s="90"/>
      <c r="V565" s="90"/>
      <c r="W565" s="90"/>
      <c r="X565" s="90"/>
      <c r="Y565" s="90"/>
      <c r="Z565" s="91"/>
    </row>
    <row r="566" spans="1:26" ht="14.4" x14ac:dyDescent="0.25">
      <c r="A566" s="92"/>
      <c r="B566" s="92"/>
      <c r="C566" s="93"/>
      <c r="D566" s="94"/>
      <c r="E566" s="94"/>
      <c r="F566" s="90"/>
      <c r="G566" s="90"/>
      <c r="H566" s="90"/>
      <c r="I566" s="90"/>
      <c r="J566" s="90"/>
      <c r="K566" s="90"/>
      <c r="L566" s="90"/>
      <c r="M566" s="90"/>
      <c r="N566" s="90"/>
      <c r="O566" s="90"/>
      <c r="P566" s="90"/>
      <c r="Q566" s="90"/>
      <c r="R566" s="90"/>
      <c r="S566" s="90"/>
      <c r="T566" s="90"/>
      <c r="U566" s="90"/>
      <c r="V566" s="90"/>
      <c r="W566" s="90"/>
      <c r="X566" s="90"/>
      <c r="Y566" s="90"/>
      <c r="Z566" s="91"/>
    </row>
    <row r="567" spans="1:26" ht="14.4" x14ac:dyDescent="0.25">
      <c r="A567" s="92"/>
      <c r="B567" s="92"/>
      <c r="C567" s="93"/>
      <c r="D567" s="94"/>
      <c r="E567" s="94"/>
      <c r="F567" s="90"/>
      <c r="G567" s="90"/>
      <c r="H567" s="90"/>
      <c r="I567" s="90"/>
      <c r="J567" s="90"/>
      <c r="K567" s="90"/>
      <c r="L567" s="90"/>
      <c r="M567" s="90"/>
      <c r="N567" s="90"/>
      <c r="O567" s="90"/>
      <c r="P567" s="90"/>
      <c r="Q567" s="90"/>
      <c r="R567" s="90"/>
      <c r="S567" s="90"/>
      <c r="T567" s="90"/>
      <c r="U567" s="90"/>
      <c r="V567" s="90"/>
      <c r="W567" s="90"/>
      <c r="X567" s="90"/>
      <c r="Y567" s="90"/>
      <c r="Z567" s="91"/>
    </row>
    <row r="568" spans="1:26" ht="14.4" x14ac:dyDescent="0.25">
      <c r="A568" s="92"/>
      <c r="B568" s="92"/>
      <c r="C568" s="93"/>
      <c r="D568" s="94"/>
      <c r="E568" s="94"/>
      <c r="F568" s="90"/>
      <c r="G568" s="90"/>
      <c r="H568" s="90"/>
      <c r="I568" s="90"/>
      <c r="J568" s="90"/>
      <c r="K568" s="90"/>
      <c r="L568" s="90"/>
      <c r="M568" s="90"/>
      <c r="N568" s="90"/>
      <c r="O568" s="90"/>
      <c r="P568" s="90"/>
      <c r="Q568" s="90"/>
      <c r="R568" s="90"/>
      <c r="S568" s="90"/>
      <c r="T568" s="90"/>
      <c r="U568" s="90"/>
      <c r="V568" s="90"/>
      <c r="W568" s="90"/>
      <c r="X568" s="90"/>
      <c r="Y568" s="90"/>
      <c r="Z568" s="91"/>
    </row>
    <row r="569" spans="1:26" ht="14.4" x14ac:dyDescent="0.25">
      <c r="A569" s="92"/>
      <c r="B569" s="92"/>
      <c r="C569" s="93"/>
      <c r="D569" s="94"/>
      <c r="E569" s="94"/>
      <c r="F569" s="90"/>
      <c r="G569" s="90"/>
      <c r="H569" s="90"/>
      <c r="I569" s="90"/>
      <c r="J569" s="90"/>
      <c r="K569" s="90"/>
      <c r="L569" s="90"/>
      <c r="M569" s="90"/>
      <c r="N569" s="90"/>
      <c r="O569" s="90"/>
      <c r="P569" s="90"/>
      <c r="Q569" s="90"/>
      <c r="R569" s="90"/>
      <c r="S569" s="90"/>
      <c r="T569" s="90"/>
      <c r="U569" s="90"/>
      <c r="V569" s="90"/>
      <c r="W569" s="90"/>
      <c r="X569" s="90"/>
      <c r="Y569" s="90"/>
      <c r="Z569" s="91"/>
    </row>
    <row r="570" spans="1:26" ht="14.4" x14ac:dyDescent="0.25">
      <c r="A570" s="92"/>
      <c r="B570" s="92"/>
      <c r="C570" s="93"/>
      <c r="D570" s="94"/>
      <c r="E570" s="94"/>
      <c r="F570" s="90"/>
      <c r="G570" s="90"/>
      <c r="H570" s="90"/>
      <c r="I570" s="90"/>
      <c r="J570" s="90"/>
      <c r="K570" s="90"/>
      <c r="L570" s="90"/>
      <c r="M570" s="90"/>
      <c r="N570" s="90"/>
      <c r="O570" s="90"/>
      <c r="P570" s="90"/>
      <c r="Q570" s="90"/>
      <c r="R570" s="90"/>
      <c r="S570" s="90"/>
      <c r="T570" s="90"/>
      <c r="U570" s="90"/>
      <c r="V570" s="90"/>
      <c r="W570" s="90"/>
      <c r="X570" s="90"/>
      <c r="Y570" s="90"/>
      <c r="Z570" s="91"/>
    </row>
    <row r="571" spans="1:26" ht="14.4" x14ac:dyDescent="0.25">
      <c r="A571" s="92"/>
      <c r="B571" s="92"/>
      <c r="C571" s="93"/>
      <c r="D571" s="94"/>
      <c r="E571" s="94"/>
      <c r="F571" s="90"/>
      <c r="G571" s="90"/>
      <c r="H571" s="90"/>
      <c r="I571" s="90"/>
      <c r="J571" s="90"/>
      <c r="K571" s="90"/>
      <c r="L571" s="90"/>
      <c r="M571" s="90"/>
      <c r="N571" s="90"/>
      <c r="O571" s="90"/>
      <c r="P571" s="90"/>
      <c r="Q571" s="90"/>
      <c r="R571" s="90"/>
      <c r="S571" s="90"/>
      <c r="T571" s="90"/>
      <c r="U571" s="90"/>
      <c r="V571" s="90"/>
      <c r="W571" s="90"/>
      <c r="X571" s="90"/>
      <c r="Y571" s="90"/>
      <c r="Z571" s="91"/>
    </row>
    <row r="572" spans="1:26" ht="14.4" x14ac:dyDescent="0.25">
      <c r="A572" s="92"/>
      <c r="B572" s="92"/>
      <c r="C572" s="93"/>
      <c r="D572" s="94"/>
      <c r="E572" s="94"/>
      <c r="F572" s="90"/>
      <c r="G572" s="90"/>
      <c r="H572" s="90"/>
      <c r="I572" s="90"/>
      <c r="J572" s="90"/>
      <c r="K572" s="90"/>
      <c r="L572" s="90"/>
      <c r="M572" s="90"/>
      <c r="N572" s="90"/>
      <c r="O572" s="90"/>
      <c r="P572" s="90"/>
      <c r="Q572" s="90"/>
      <c r="R572" s="90"/>
      <c r="S572" s="90"/>
      <c r="T572" s="90"/>
      <c r="U572" s="90"/>
      <c r="V572" s="90"/>
      <c r="W572" s="90"/>
      <c r="X572" s="90"/>
      <c r="Y572" s="90"/>
      <c r="Z572" s="91"/>
    </row>
    <row r="573" spans="1:26" ht="14.4" x14ac:dyDescent="0.25">
      <c r="A573" s="92"/>
      <c r="B573" s="92"/>
      <c r="C573" s="93"/>
      <c r="D573" s="94"/>
      <c r="E573" s="94"/>
      <c r="F573" s="90"/>
      <c r="G573" s="90"/>
      <c r="H573" s="90"/>
      <c r="I573" s="90"/>
      <c r="J573" s="90"/>
      <c r="K573" s="90"/>
      <c r="L573" s="90"/>
      <c r="M573" s="90"/>
      <c r="N573" s="90"/>
      <c r="O573" s="90"/>
      <c r="P573" s="90"/>
      <c r="Q573" s="90"/>
      <c r="R573" s="90"/>
      <c r="S573" s="90"/>
      <c r="T573" s="90"/>
      <c r="U573" s="90"/>
      <c r="V573" s="90"/>
      <c r="W573" s="90"/>
      <c r="X573" s="90"/>
      <c r="Y573" s="90"/>
      <c r="Z573" s="91"/>
    </row>
    <row r="574" spans="1:26" ht="14.4" x14ac:dyDescent="0.25">
      <c r="A574" s="92"/>
      <c r="B574" s="92"/>
      <c r="C574" s="93"/>
      <c r="D574" s="94"/>
      <c r="E574" s="94"/>
      <c r="F574" s="90"/>
      <c r="G574" s="90"/>
      <c r="H574" s="90"/>
      <c r="I574" s="90"/>
      <c r="J574" s="90"/>
      <c r="K574" s="90"/>
      <c r="L574" s="90"/>
      <c r="M574" s="90"/>
      <c r="N574" s="90"/>
      <c r="O574" s="90"/>
      <c r="P574" s="90"/>
      <c r="Q574" s="90"/>
      <c r="R574" s="90"/>
      <c r="S574" s="90"/>
      <c r="T574" s="90"/>
      <c r="U574" s="90"/>
      <c r="V574" s="90"/>
      <c r="W574" s="90"/>
      <c r="X574" s="90"/>
      <c r="Y574" s="90"/>
      <c r="Z574" s="91"/>
    </row>
    <row r="575" spans="1:26" ht="14.4" x14ac:dyDescent="0.25">
      <c r="A575" s="92"/>
      <c r="B575" s="92"/>
      <c r="C575" s="93"/>
      <c r="D575" s="94"/>
      <c r="E575" s="94"/>
      <c r="F575" s="90"/>
      <c r="G575" s="90"/>
      <c r="H575" s="90"/>
      <c r="I575" s="90"/>
      <c r="J575" s="90"/>
      <c r="K575" s="90"/>
      <c r="L575" s="90"/>
      <c r="M575" s="90"/>
      <c r="N575" s="90"/>
      <c r="O575" s="90"/>
      <c r="P575" s="90"/>
      <c r="Q575" s="90"/>
      <c r="R575" s="90"/>
      <c r="S575" s="90"/>
      <c r="T575" s="90"/>
      <c r="U575" s="90"/>
      <c r="V575" s="90"/>
      <c r="W575" s="90"/>
      <c r="X575" s="90"/>
      <c r="Y575" s="90"/>
      <c r="Z575" s="91"/>
    </row>
    <row r="576" spans="1:26" ht="14.4" x14ac:dyDescent="0.25">
      <c r="A576" s="92"/>
      <c r="B576" s="92"/>
      <c r="C576" s="93"/>
      <c r="D576" s="94"/>
      <c r="E576" s="94"/>
      <c r="F576" s="90"/>
      <c r="G576" s="90"/>
      <c r="H576" s="90"/>
      <c r="I576" s="90"/>
      <c r="J576" s="90"/>
      <c r="K576" s="90"/>
      <c r="L576" s="90"/>
      <c r="M576" s="90"/>
      <c r="N576" s="90"/>
      <c r="O576" s="90"/>
      <c r="P576" s="90"/>
      <c r="Q576" s="90"/>
      <c r="R576" s="90"/>
      <c r="S576" s="90"/>
      <c r="T576" s="90"/>
      <c r="U576" s="90"/>
      <c r="V576" s="90"/>
      <c r="W576" s="90"/>
      <c r="X576" s="90"/>
      <c r="Y576" s="90"/>
      <c r="Z576" s="91"/>
    </row>
    <row r="577" spans="1:26" ht="14.4" x14ac:dyDescent="0.25">
      <c r="A577" s="92"/>
      <c r="B577" s="92"/>
      <c r="C577" s="93"/>
      <c r="D577" s="94"/>
      <c r="E577" s="94"/>
      <c r="F577" s="90"/>
      <c r="G577" s="90"/>
      <c r="H577" s="90"/>
      <c r="I577" s="90"/>
      <c r="J577" s="90"/>
      <c r="K577" s="90"/>
      <c r="L577" s="90"/>
      <c r="M577" s="90"/>
      <c r="N577" s="90"/>
      <c r="O577" s="90"/>
      <c r="P577" s="90"/>
      <c r="Q577" s="90"/>
      <c r="R577" s="90"/>
      <c r="S577" s="90"/>
      <c r="T577" s="90"/>
      <c r="U577" s="90"/>
      <c r="V577" s="90"/>
      <c r="W577" s="90"/>
      <c r="X577" s="90"/>
      <c r="Y577" s="90"/>
      <c r="Z577" s="91"/>
    </row>
    <row r="578" spans="1:26" ht="14.4" x14ac:dyDescent="0.25">
      <c r="A578" s="92"/>
      <c r="B578" s="92"/>
      <c r="C578" s="93"/>
      <c r="D578" s="94"/>
      <c r="E578" s="94"/>
      <c r="F578" s="90"/>
      <c r="G578" s="90"/>
      <c r="H578" s="90"/>
      <c r="I578" s="90"/>
      <c r="J578" s="90"/>
      <c r="K578" s="90"/>
      <c r="L578" s="90"/>
      <c r="M578" s="90"/>
      <c r="N578" s="90"/>
      <c r="O578" s="90"/>
      <c r="P578" s="90"/>
      <c r="Q578" s="90"/>
      <c r="R578" s="90"/>
      <c r="S578" s="90"/>
      <c r="T578" s="90"/>
      <c r="U578" s="90"/>
      <c r="V578" s="90"/>
      <c r="W578" s="90"/>
      <c r="X578" s="90"/>
      <c r="Y578" s="90"/>
      <c r="Z578" s="91"/>
    </row>
    <row r="579" spans="1:26" ht="14.4" x14ac:dyDescent="0.25">
      <c r="A579" s="92"/>
      <c r="B579" s="92"/>
      <c r="C579" s="93"/>
      <c r="D579" s="94"/>
      <c r="E579" s="94"/>
      <c r="F579" s="90"/>
      <c r="G579" s="90"/>
      <c r="H579" s="90"/>
      <c r="I579" s="90"/>
      <c r="J579" s="90"/>
      <c r="K579" s="90"/>
      <c r="L579" s="90"/>
      <c r="M579" s="90"/>
      <c r="N579" s="90"/>
      <c r="O579" s="90"/>
      <c r="P579" s="90"/>
      <c r="Q579" s="90"/>
      <c r="R579" s="90"/>
      <c r="S579" s="90"/>
      <c r="T579" s="90"/>
      <c r="U579" s="90"/>
      <c r="V579" s="90"/>
      <c r="W579" s="90"/>
      <c r="X579" s="90"/>
      <c r="Y579" s="90"/>
      <c r="Z579" s="91"/>
    </row>
    <row r="580" spans="1:26" ht="14.4" x14ac:dyDescent="0.25">
      <c r="A580" s="92"/>
      <c r="B580" s="92"/>
      <c r="C580" s="93"/>
      <c r="D580" s="94"/>
      <c r="E580" s="94"/>
      <c r="F580" s="90"/>
      <c r="G580" s="90"/>
      <c r="H580" s="90"/>
      <c r="I580" s="90"/>
      <c r="J580" s="90"/>
      <c r="K580" s="90"/>
      <c r="L580" s="90"/>
      <c r="M580" s="90"/>
      <c r="N580" s="90"/>
      <c r="O580" s="90"/>
      <c r="P580" s="90"/>
      <c r="Q580" s="90"/>
      <c r="R580" s="90"/>
      <c r="S580" s="90"/>
      <c r="T580" s="90"/>
      <c r="U580" s="90"/>
      <c r="V580" s="90"/>
      <c r="W580" s="90"/>
      <c r="X580" s="90"/>
      <c r="Y580" s="90"/>
      <c r="Z580" s="91"/>
    </row>
    <row r="581" spans="1:26" ht="14.4" x14ac:dyDescent="0.25">
      <c r="A581" s="92"/>
      <c r="B581" s="92"/>
      <c r="C581" s="93"/>
      <c r="D581" s="94"/>
      <c r="E581" s="94"/>
      <c r="F581" s="90"/>
      <c r="G581" s="90"/>
      <c r="H581" s="90"/>
      <c r="I581" s="90"/>
      <c r="J581" s="90"/>
      <c r="K581" s="90"/>
      <c r="L581" s="90"/>
      <c r="M581" s="90"/>
      <c r="N581" s="90"/>
      <c r="O581" s="90"/>
      <c r="P581" s="90"/>
      <c r="Q581" s="90"/>
      <c r="R581" s="90"/>
      <c r="S581" s="90"/>
      <c r="T581" s="90"/>
      <c r="U581" s="90"/>
      <c r="V581" s="90"/>
      <c r="W581" s="90"/>
      <c r="X581" s="90"/>
      <c r="Y581" s="90"/>
      <c r="Z581" s="91"/>
    </row>
    <row r="582" spans="1:26" ht="14.4" x14ac:dyDescent="0.25">
      <c r="A582" s="92"/>
      <c r="B582" s="92"/>
      <c r="C582" s="93"/>
      <c r="D582" s="94"/>
      <c r="E582" s="94"/>
      <c r="F582" s="90"/>
      <c r="G582" s="90"/>
      <c r="H582" s="90"/>
      <c r="I582" s="90"/>
      <c r="J582" s="90"/>
      <c r="K582" s="90"/>
      <c r="L582" s="90"/>
      <c r="M582" s="90"/>
      <c r="N582" s="90"/>
      <c r="O582" s="90"/>
      <c r="P582" s="90"/>
      <c r="Q582" s="90"/>
      <c r="R582" s="90"/>
      <c r="S582" s="90"/>
      <c r="T582" s="90"/>
      <c r="U582" s="90"/>
      <c r="V582" s="90"/>
      <c r="W582" s="90"/>
      <c r="X582" s="90"/>
      <c r="Y582" s="90"/>
      <c r="Z582" s="91"/>
    </row>
    <row r="583" spans="1:26" ht="14.4" x14ac:dyDescent="0.25">
      <c r="A583" s="92"/>
      <c r="B583" s="92"/>
      <c r="C583" s="93"/>
      <c r="D583" s="94"/>
      <c r="E583" s="94"/>
      <c r="F583" s="90"/>
      <c r="G583" s="90"/>
      <c r="H583" s="90"/>
      <c r="I583" s="90"/>
      <c r="J583" s="90"/>
      <c r="K583" s="90"/>
      <c r="L583" s="90"/>
      <c r="M583" s="90"/>
      <c r="N583" s="90"/>
      <c r="O583" s="90"/>
      <c r="P583" s="90"/>
      <c r="Q583" s="90"/>
      <c r="R583" s="90"/>
      <c r="S583" s="90"/>
      <c r="T583" s="90"/>
      <c r="U583" s="90"/>
      <c r="V583" s="90"/>
      <c r="W583" s="90"/>
      <c r="X583" s="90"/>
      <c r="Y583" s="90"/>
      <c r="Z583" s="91"/>
    </row>
    <row r="584" spans="1:26" ht="14.4" x14ac:dyDescent="0.25">
      <c r="A584" s="92"/>
      <c r="B584" s="92"/>
      <c r="C584" s="93"/>
      <c r="D584" s="94"/>
      <c r="E584" s="94"/>
      <c r="F584" s="90"/>
      <c r="G584" s="90"/>
      <c r="H584" s="90"/>
      <c r="I584" s="90"/>
      <c r="J584" s="90"/>
      <c r="K584" s="90"/>
      <c r="L584" s="90"/>
      <c r="M584" s="90"/>
      <c r="N584" s="90"/>
      <c r="O584" s="90"/>
      <c r="P584" s="90"/>
      <c r="Q584" s="90"/>
      <c r="R584" s="90"/>
      <c r="S584" s="90"/>
      <c r="T584" s="90"/>
      <c r="U584" s="90"/>
      <c r="V584" s="90"/>
      <c r="W584" s="90"/>
      <c r="X584" s="90"/>
      <c r="Y584" s="90"/>
      <c r="Z584" s="91"/>
    </row>
    <row r="585" spans="1:26" ht="14.4" x14ac:dyDescent="0.25">
      <c r="A585" s="92"/>
      <c r="B585" s="92"/>
      <c r="C585" s="93"/>
      <c r="D585" s="94"/>
      <c r="E585" s="94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  <c r="Q585" s="90"/>
      <c r="R585" s="90"/>
      <c r="S585" s="90"/>
      <c r="T585" s="90"/>
      <c r="U585" s="90"/>
      <c r="V585" s="90"/>
      <c r="W585" s="90"/>
      <c r="X585" s="90"/>
      <c r="Y585" s="90"/>
      <c r="Z585" s="91"/>
    </row>
    <row r="586" spans="1:26" ht="14.4" x14ac:dyDescent="0.25">
      <c r="A586" s="92"/>
      <c r="B586" s="92"/>
      <c r="C586" s="93"/>
      <c r="D586" s="94"/>
      <c r="E586" s="94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  <c r="Q586" s="90"/>
      <c r="R586" s="90"/>
      <c r="S586" s="90"/>
      <c r="T586" s="90"/>
      <c r="U586" s="90"/>
      <c r="V586" s="90"/>
      <c r="W586" s="90"/>
      <c r="X586" s="90"/>
      <c r="Y586" s="90"/>
      <c r="Z586" s="91"/>
    </row>
    <row r="587" spans="1:26" ht="14.4" x14ac:dyDescent="0.25">
      <c r="A587" s="92"/>
      <c r="B587" s="92"/>
      <c r="C587" s="93"/>
      <c r="D587" s="94"/>
      <c r="E587" s="94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  <c r="Q587" s="90"/>
      <c r="R587" s="90"/>
      <c r="S587" s="90"/>
      <c r="T587" s="90"/>
      <c r="U587" s="90"/>
      <c r="V587" s="90"/>
      <c r="W587" s="90"/>
      <c r="X587" s="90"/>
      <c r="Y587" s="90"/>
      <c r="Z587" s="91"/>
    </row>
    <row r="588" spans="1:26" ht="14.4" x14ac:dyDescent="0.25">
      <c r="A588" s="92"/>
      <c r="B588" s="92"/>
      <c r="C588" s="93"/>
      <c r="D588" s="94"/>
      <c r="E588" s="94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  <c r="Q588" s="90"/>
      <c r="R588" s="90"/>
      <c r="S588" s="90"/>
      <c r="T588" s="90"/>
      <c r="U588" s="90"/>
      <c r="V588" s="90"/>
      <c r="W588" s="90"/>
      <c r="X588" s="90"/>
      <c r="Y588" s="90"/>
      <c r="Z588" s="91"/>
    </row>
    <row r="589" spans="1:26" ht="14.4" x14ac:dyDescent="0.25">
      <c r="A589" s="92"/>
      <c r="B589" s="92"/>
      <c r="C589" s="93"/>
      <c r="D589" s="94"/>
      <c r="E589" s="94"/>
      <c r="F589" s="90"/>
      <c r="G589" s="90"/>
      <c r="H589" s="90"/>
      <c r="I589" s="90"/>
      <c r="J589" s="90"/>
      <c r="K589" s="90"/>
      <c r="L589" s="90"/>
      <c r="M589" s="90"/>
      <c r="N589" s="90"/>
      <c r="O589" s="90"/>
      <c r="P589" s="90"/>
      <c r="Q589" s="90"/>
      <c r="R589" s="90"/>
      <c r="S589" s="90"/>
      <c r="T589" s="90"/>
      <c r="U589" s="90"/>
      <c r="V589" s="90"/>
      <c r="W589" s="90"/>
      <c r="X589" s="90"/>
      <c r="Y589" s="90"/>
      <c r="Z589" s="91"/>
    </row>
    <row r="590" spans="1:26" ht="14.4" x14ac:dyDescent="0.25">
      <c r="A590" s="92"/>
      <c r="B590" s="92"/>
      <c r="C590" s="93"/>
      <c r="D590" s="94"/>
      <c r="E590" s="94"/>
      <c r="F590" s="90"/>
      <c r="G590" s="90"/>
      <c r="H590" s="90"/>
      <c r="I590" s="90"/>
      <c r="J590" s="90"/>
      <c r="K590" s="90"/>
      <c r="L590" s="90"/>
      <c r="M590" s="90"/>
      <c r="N590" s="90"/>
      <c r="O590" s="90"/>
      <c r="P590" s="90"/>
      <c r="Q590" s="90"/>
      <c r="R590" s="90"/>
      <c r="S590" s="90"/>
      <c r="T590" s="90"/>
      <c r="U590" s="90"/>
      <c r="V590" s="90"/>
      <c r="W590" s="90"/>
      <c r="X590" s="90"/>
      <c r="Y590" s="90"/>
      <c r="Z590" s="91"/>
    </row>
    <row r="591" spans="1:26" ht="14.4" x14ac:dyDescent="0.25">
      <c r="A591" s="92"/>
      <c r="B591" s="92"/>
      <c r="C591" s="93"/>
      <c r="D591" s="94"/>
      <c r="E591" s="94"/>
      <c r="F591" s="90"/>
      <c r="G591" s="90"/>
      <c r="H591" s="90"/>
      <c r="I591" s="90"/>
      <c r="J591" s="90"/>
      <c r="K591" s="90"/>
      <c r="L591" s="90"/>
      <c r="M591" s="90"/>
      <c r="N591" s="90"/>
      <c r="O591" s="90"/>
      <c r="P591" s="90"/>
      <c r="Q591" s="90"/>
      <c r="R591" s="90"/>
      <c r="S591" s="90"/>
      <c r="T591" s="90"/>
      <c r="U591" s="90"/>
      <c r="V591" s="90"/>
      <c r="W591" s="90"/>
      <c r="X591" s="90"/>
      <c r="Y591" s="90"/>
      <c r="Z591" s="91"/>
    </row>
    <row r="592" spans="1:26" ht="14.4" x14ac:dyDescent="0.25">
      <c r="A592" s="92"/>
      <c r="B592" s="92"/>
      <c r="C592" s="93"/>
      <c r="D592" s="94"/>
      <c r="E592" s="94"/>
      <c r="F592" s="90"/>
      <c r="G592" s="90"/>
      <c r="H592" s="90"/>
      <c r="I592" s="90"/>
      <c r="J592" s="90"/>
      <c r="K592" s="90"/>
      <c r="L592" s="90"/>
      <c r="M592" s="90"/>
      <c r="N592" s="90"/>
      <c r="O592" s="90"/>
      <c r="P592" s="90"/>
      <c r="Q592" s="90"/>
      <c r="R592" s="90"/>
      <c r="S592" s="90"/>
      <c r="T592" s="90"/>
      <c r="U592" s="90"/>
      <c r="V592" s="90"/>
      <c r="W592" s="90"/>
      <c r="X592" s="90"/>
      <c r="Y592" s="90"/>
      <c r="Z592" s="91"/>
    </row>
    <row r="593" spans="1:26" ht="14.4" x14ac:dyDescent="0.25">
      <c r="A593" s="92"/>
      <c r="B593" s="92"/>
      <c r="C593" s="93"/>
      <c r="D593" s="94"/>
      <c r="E593" s="94"/>
      <c r="F593" s="90"/>
      <c r="G593" s="90"/>
      <c r="H593" s="90"/>
      <c r="I593" s="90"/>
      <c r="J593" s="90"/>
      <c r="K593" s="90"/>
      <c r="L593" s="90"/>
      <c r="M593" s="90"/>
      <c r="N593" s="90"/>
      <c r="O593" s="90"/>
      <c r="P593" s="90"/>
      <c r="Q593" s="90"/>
      <c r="R593" s="90"/>
      <c r="S593" s="90"/>
      <c r="T593" s="90"/>
      <c r="U593" s="90"/>
      <c r="V593" s="90"/>
      <c r="W593" s="90"/>
      <c r="X593" s="90"/>
      <c r="Y593" s="90"/>
      <c r="Z593" s="91"/>
    </row>
    <row r="594" spans="1:26" ht="14.4" x14ac:dyDescent="0.25">
      <c r="A594" s="92"/>
      <c r="B594" s="92"/>
      <c r="C594" s="93"/>
      <c r="D594" s="94"/>
      <c r="E594" s="94"/>
      <c r="F594" s="90"/>
      <c r="G594" s="90"/>
      <c r="H594" s="90"/>
      <c r="I594" s="90"/>
      <c r="J594" s="90"/>
      <c r="K594" s="90"/>
      <c r="L594" s="90"/>
      <c r="M594" s="90"/>
      <c r="N594" s="90"/>
      <c r="O594" s="90"/>
      <c r="P594" s="90"/>
      <c r="Q594" s="90"/>
      <c r="R594" s="90"/>
      <c r="S594" s="90"/>
      <c r="T594" s="90"/>
      <c r="U594" s="90"/>
      <c r="V594" s="90"/>
      <c r="W594" s="90"/>
      <c r="X594" s="90"/>
      <c r="Y594" s="90"/>
      <c r="Z594" s="91"/>
    </row>
    <row r="595" spans="1:26" ht="14.4" x14ac:dyDescent="0.25">
      <c r="A595" s="92"/>
      <c r="B595" s="92"/>
      <c r="C595" s="93"/>
      <c r="D595" s="94"/>
      <c r="E595" s="94"/>
      <c r="F595" s="90"/>
      <c r="G595" s="90"/>
      <c r="H595" s="90"/>
      <c r="I595" s="90"/>
      <c r="J595" s="90"/>
      <c r="K595" s="90"/>
      <c r="L595" s="90"/>
      <c r="M595" s="90"/>
      <c r="N595" s="90"/>
      <c r="O595" s="90"/>
      <c r="P595" s="90"/>
      <c r="Q595" s="90"/>
      <c r="R595" s="90"/>
      <c r="S595" s="90"/>
      <c r="T595" s="90"/>
      <c r="U595" s="90"/>
      <c r="V595" s="90"/>
      <c r="W595" s="90"/>
      <c r="X595" s="90"/>
      <c r="Y595" s="90"/>
      <c r="Z595" s="91"/>
    </row>
    <row r="596" spans="1:26" ht="14.4" x14ac:dyDescent="0.25">
      <c r="A596" s="92"/>
      <c r="B596" s="92"/>
      <c r="C596" s="93"/>
      <c r="D596" s="94"/>
      <c r="E596" s="94"/>
      <c r="F596" s="90"/>
      <c r="G596" s="90"/>
      <c r="H596" s="90"/>
      <c r="I596" s="90"/>
      <c r="J596" s="90"/>
      <c r="K596" s="90"/>
      <c r="L596" s="90"/>
      <c r="M596" s="90"/>
      <c r="N596" s="90"/>
      <c r="O596" s="90"/>
      <c r="P596" s="90"/>
      <c r="Q596" s="90"/>
      <c r="R596" s="90"/>
      <c r="S596" s="90"/>
      <c r="T596" s="90"/>
      <c r="U596" s="90"/>
      <c r="V596" s="90"/>
      <c r="W596" s="90"/>
      <c r="X596" s="90"/>
      <c r="Y596" s="90"/>
      <c r="Z596" s="91"/>
    </row>
    <row r="597" spans="1:26" ht="14.4" x14ac:dyDescent="0.25">
      <c r="A597" s="92"/>
      <c r="B597" s="92"/>
      <c r="C597" s="93"/>
      <c r="D597" s="94"/>
      <c r="E597" s="94"/>
      <c r="F597" s="90"/>
      <c r="G597" s="90"/>
      <c r="H597" s="90"/>
      <c r="I597" s="90"/>
      <c r="J597" s="90"/>
      <c r="K597" s="90"/>
      <c r="L597" s="90"/>
      <c r="M597" s="90"/>
      <c r="N597" s="90"/>
      <c r="O597" s="90"/>
      <c r="P597" s="90"/>
      <c r="Q597" s="90"/>
      <c r="R597" s="90"/>
      <c r="S597" s="90"/>
      <c r="T597" s="90"/>
      <c r="U597" s="90"/>
      <c r="V597" s="90"/>
      <c r="W597" s="90"/>
      <c r="X597" s="90"/>
      <c r="Y597" s="90"/>
      <c r="Z597" s="91"/>
    </row>
    <row r="598" spans="1:26" ht="14.4" x14ac:dyDescent="0.25">
      <c r="A598" s="92"/>
      <c r="B598" s="92"/>
      <c r="C598" s="93"/>
      <c r="D598" s="94"/>
      <c r="E598" s="94"/>
      <c r="F598" s="90"/>
      <c r="G598" s="90"/>
      <c r="H598" s="90"/>
      <c r="I598" s="90"/>
      <c r="J598" s="90"/>
      <c r="K598" s="90"/>
      <c r="L598" s="90"/>
      <c r="M598" s="90"/>
      <c r="N598" s="90"/>
      <c r="O598" s="90"/>
      <c r="P598" s="90"/>
      <c r="Q598" s="90"/>
      <c r="R598" s="90"/>
      <c r="S598" s="90"/>
      <c r="T598" s="90"/>
      <c r="U598" s="90"/>
      <c r="V598" s="90"/>
      <c r="W598" s="90"/>
      <c r="X598" s="90"/>
      <c r="Y598" s="90"/>
      <c r="Z598" s="91"/>
    </row>
    <row r="599" spans="1:26" ht="14.4" x14ac:dyDescent="0.25">
      <c r="A599" s="92"/>
      <c r="B599" s="92"/>
      <c r="C599" s="93"/>
      <c r="D599" s="94"/>
      <c r="E599" s="94"/>
      <c r="F599" s="90"/>
      <c r="G599" s="90"/>
      <c r="H599" s="90"/>
      <c r="I599" s="90"/>
      <c r="J599" s="90"/>
      <c r="K599" s="90"/>
      <c r="L599" s="90"/>
      <c r="M599" s="90"/>
      <c r="N599" s="90"/>
      <c r="O599" s="90"/>
      <c r="P599" s="90"/>
      <c r="Q599" s="90"/>
      <c r="R599" s="90"/>
      <c r="S599" s="90"/>
      <c r="T599" s="90"/>
      <c r="U599" s="90"/>
      <c r="V599" s="90"/>
      <c r="W599" s="90"/>
      <c r="X599" s="90"/>
      <c r="Y599" s="90"/>
      <c r="Z599" s="91"/>
    </row>
    <row r="600" spans="1:26" ht="14.4" x14ac:dyDescent="0.25">
      <c r="A600" s="92"/>
      <c r="B600" s="92"/>
      <c r="C600" s="93"/>
      <c r="D600" s="94"/>
      <c r="E600" s="94"/>
      <c r="F600" s="90"/>
      <c r="G600" s="90"/>
      <c r="H600" s="90"/>
      <c r="I600" s="90"/>
      <c r="J600" s="90"/>
      <c r="K600" s="90"/>
      <c r="L600" s="90"/>
      <c r="M600" s="90"/>
      <c r="N600" s="90"/>
      <c r="O600" s="90"/>
      <c r="P600" s="90"/>
      <c r="Q600" s="90"/>
      <c r="R600" s="90"/>
      <c r="S600" s="90"/>
      <c r="T600" s="90"/>
      <c r="U600" s="90"/>
      <c r="V600" s="90"/>
      <c r="W600" s="90"/>
      <c r="X600" s="90"/>
      <c r="Y600" s="90"/>
      <c r="Z600" s="91"/>
    </row>
    <row r="601" spans="1:26" ht="14.4" x14ac:dyDescent="0.25">
      <c r="A601" s="92"/>
      <c r="B601" s="92"/>
      <c r="C601" s="93"/>
      <c r="D601" s="94"/>
      <c r="E601" s="94"/>
      <c r="F601" s="90"/>
      <c r="G601" s="90"/>
      <c r="H601" s="90"/>
      <c r="I601" s="90"/>
      <c r="J601" s="90"/>
      <c r="K601" s="90"/>
      <c r="L601" s="90"/>
      <c r="M601" s="90"/>
      <c r="N601" s="90"/>
      <c r="O601" s="90"/>
      <c r="P601" s="90"/>
      <c r="Q601" s="90"/>
      <c r="R601" s="90"/>
      <c r="S601" s="90"/>
      <c r="T601" s="90"/>
      <c r="U601" s="90"/>
      <c r="V601" s="90"/>
      <c r="W601" s="90"/>
      <c r="X601" s="90"/>
      <c r="Y601" s="90"/>
      <c r="Z601" s="91"/>
    </row>
    <row r="602" spans="1:26" ht="14.4" x14ac:dyDescent="0.25">
      <c r="A602" s="92"/>
      <c r="B602" s="92"/>
      <c r="C602" s="93"/>
      <c r="D602" s="94"/>
      <c r="E602" s="94"/>
      <c r="F602" s="90"/>
      <c r="G602" s="90"/>
      <c r="H602" s="90"/>
      <c r="I602" s="90"/>
      <c r="J602" s="90"/>
      <c r="K602" s="90"/>
      <c r="L602" s="90"/>
      <c r="M602" s="90"/>
      <c r="N602" s="90"/>
      <c r="O602" s="90"/>
      <c r="P602" s="90"/>
      <c r="Q602" s="90"/>
      <c r="R602" s="90"/>
      <c r="S602" s="90"/>
      <c r="T602" s="90"/>
      <c r="U602" s="90"/>
      <c r="V602" s="90"/>
      <c r="W602" s="90"/>
      <c r="X602" s="90"/>
      <c r="Y602" s="90"/>
      <c r="Z602" s="91"/>
    </row>
    <row r="603" spans="1:26" ht="14.4" x14ac:dyDescent="0.25">
      <c r="A603" s="92"/>
      <c r="B603" s="92"/>
      <c r="C603" s="93"/>
      <c r="D603" s="94"/>
      <c r="E603" s="94"/>
      <c r="F603" s="90"/>
      <c r="G603" s="90"/>
      <c r="H603" s="90"/>
      <c r="I603" s="90"/>
      <c r="J603" s="90"/>
      <c r="K603" s="90"/>
      <c r="L603" s="90"/>
      <c r="M603" s="90"/>
      <c r="N603" s="90"/>
      <c r="O603" s="90"/>
      <c r="P603" s="90"/>
      <c r="Q603" s="90"/>
      <c r="R603" s="90"/>
      <c r="S603" s="90"/>
      <c r="T603" s="90"/>
      <c r="U603" s="90"/>
      <c r="V603" s="90"/>
      <c r="W603" s="90"/>
      <c r="X603" s="90"/>
      <c r="Y603" s="90"/>
      <c r="Z603" s="91"/>
    </row>
    <row r="604" spans="1:26" ht="14.4" x14ac:dyDescent="0.25">
      <c r="A604" s="92"/>
      <c r="B604" s="92"/>
      <c r="C604" s="93"/>
      <c r="D604" s="94"/>
      <c r="E604" s="94"/>
      <c r="F604" s="90"/>
      <c r="G604" s="90"/>
      <c r="H604" s="90"/>
      <c r="I604" s="90"/>
      <c r="J604" s="90"/>
      <c r="K604" s="90"/>
      <c r="L604" s="90"/>
      <c r="M604" s="90"/>
      <c r="N604" s="90"/>
      <c r="O604" s="90"/>
      <c r="P604" s="90"/>
      <c r="Q604" s="90"/>
      <c r="R604" s="90"/>
      <c r="S604" s="90"/>
      <c r="T604" s="90"/>
      <c r="U604" s="90"/>
      <c r="V604" s="90"/>
      <c r="W604" s="90"/>
      <c r="X604" s="90"/>
      <c r="Y604" s="90"/>
      <c r="Z604" s="91"/>
    </row>
    <row r="605" spans="1:26" ht="14.4" x14ac:dyDescent="0.25">
      <c r="A605" s="92"/>
      <c r="B605" s="92"/>
      <c r="C605" s="93"/>
      <c r="D605" s="94"/>
      <c r="E605" s="94"/>
      <c r="F605" s="90"/>
      <c r="G605" s="90"/>
      <c r="H605" s="90"/>
      <c r="I605" s="90"/>
      <c r="J605" s="90"/>
      <c r="K605" s="90"/>
      <c r="L605" s="90"/>
      <c r="M605" s="90"/>
      <c r="N605" s="90"/>
      <c r="O605" s="90"/>
      <c r="P605" s="90"/>
      <c r="Q605" s="90"/>
      <c r="R605" s="90"/>
      <c r="S605" s="90"/>
      <c r="T605" s="90"/>
      <c r="U605" s="90"/>
      <c r="V605" s="90"/>
      <c r="W605" s="90"/>
      <c r="X605" s="90"/>
      <c r="Y605" s="90"/>
      <c r="Z605" s="91"/>
    </row>
    <row r="606" spans="1:26" ht="14.4" x14ac:dyDescent="0.25">
      <c r="A606" s="92"/>
      <c r="B606" s="92"/>
      <c r="C606" s="93"/>
      <c r="D606" s="94"/>
      <c r="E606" s="94"/>
      <c r="F606" s="90"/>
      <c r="G606" s="90"/>
      <c r="H606" s="90"/>
      <c r="I606" s="90"/>
      <c r="J606" s="90"/>
      <c r="K606" s="90"/>
      <c r="L606" s="90"/>
      <c r="M606" s="90"/>
      <c r="N606" s="90"/>
      <c r="O606" s="90"/>
      <c r="P606" s="90"/>
      <c r="Q606" s="90"/>
      <c r="R606" s="90"/>
      <c r="S606" s="90"/>
      <c r="T606" s="90"/>
      <c r="U606" s="90"/>
      <c r="V606" s="90"/>
      <c r="W606" s="90"/>
      <c r="X606" s="90"/>
      <c r="Y606" s="90"/>
      <c r="Z606" s="91"/>
    </row>
    <row r="607" spans="1:26" ht="14.4" x14ac:dyDescent="0.25">
      <c r="A607" s="92"/>
      <c r="B607" s="92"/>
      <c r="C607" s="93"/>
      <c r="D607" s="94"/>
      <c r="E607" s="94"/>
      <c r="F607" s="90"/>
      <c r="G607" s="90"/>
      <c r="H607" s="90"/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0"/>
      <c r="Y607" s="90"/>
      <c r="Z607" s="91"/>
    </row>
    <row r="608" spans="1:26" ht="14.4" x14ac:dyDescent="0.25">
      <c r="A608" s="92"/>
      <c r="B608" s="92"/>
      <c r="C608" s="93"/>
      <c r="D608" s="94"/>
      <c r="E608" s="94"/>
      <c r="F608" s="90"/>
      <c r="G608" s="90"/>
      <c r="H608" s="90"/>
      <c r="I608" s="90"/>
      <c r="J608" s="90"/>
      <c r="K608" s="90"/>
      <c r="L608" s="90"/>
      <c r="M608" s="90"/>
      <c r="N608" s="90"/>
      <c r="O608" s="90"/>
      <c r="P608" s="90"/>
      <c r="Q608" s="90"/>
      <c r="R608" s="90"/>
      <c r="S608" s="90"/>
      <c r="T608" s="90"/>
      <c r="U608" s="90"/>
      <c r="V608" s="90"/>
      <c r="W608" s="90"/>
      <c r="X608" s="90"/>
      <c r="Y608" s="90"/>
      <c r="Z608" s="91"/>
    </row>
    <row r="609" spans="1:26" ht="14.4" x14ac:dyDescent="0.25">
      <c r="A609" s="92"/>
      <c r="B609" s="92"/>
      <c r="C609" s="93"/>
      <c r="D609" s="94"/>
      <c r="E609" s="94"/>
      <c r="F609" s="90"/>
      <c r="G609" s="90"/>
      <c r="H609" s="90"/>
      <c r="I609" s="90"/>
      <c r="J609" s="90"/>
      <c r="K609" s="90"/>
      <c r="L609" s="90"/>
      <c r="M609" s="90"/>
      <c r="N609" s="90"/>
      <c r="O609" s="90"/>
      <c r="P609" s="90"/>
      <c r="Q609" s="90"/>
      <c r="R609" s="90"/>
      <c r="S609" s="90"/>
      <c r="T609" s="90"/>
      <c r="U609" s="90"/>
      <c r="V609" s="90"/>
      <c r="W609" s="90"/>
      <c r="X609" s="90"/>
      <c r="Y609" s="90"/>
      <c r="Z609" s="91"/>
    </row>
    <row r="610" spans="1:26" ht="14.4" x14ac:dyDescent="0.25">
      <c r="A610" s="92"/>
      <c r="B610" s="92"/>
      <c r="C610" s="93"/>
      <c r="D610" s="94"/>
      <c r="E610" s="94"/>
      <c r="F610" s="90"/>
      <c r="G610" s="90"/>
      <c r="H610" s="90"/>
      <c r="I610" s="90"/>
      <c r="J610" s="90"/>
      <c r="K610" s="90"/>
      <c r="L610" s="90"/>
      <c r="M610" s="90"/>
      <c r="N610" s="90"/>
      <c r="O610" s="90"/>
      <c r="P610" s="90"/>
      <c r="Q610" s="90"/>
      <c r="R610" s="90"/>
      <c r="S610" s="90"/>
      <c r="T610" s="90"/>
      <c r="U610" s="90"/>
      <c r="V610" s="90"/>
      <c r="W610" s="90"/>
      <c r="X610" s="90"/>
      <c r="Y610" s="90"/>
      <c r="Z610" s="91"/>
    </row>
    <row r="611" spans="1:26" ht="14.4" x14ac:dyDescent="0.25">
      <c r="A611" s="92"/>
      <c r="B611" s="92"/>
      <c r="C611" s="93"/>
      <c r="D611" s="94"/>
      <c r="E611" s="94"/>
      <c r="F611" s="90"/>
      <c r="G611" s="90"/>
      <c r="H611" s="90"/>
      <c r="I611" s="90"/>
      <c r="J611" s="90"/>
      <c r="K611" s="90"/>
      <c r="L611" s="90"/>
      <c r="M611" s="90"/>
      <c r="N611" s="90"/>
      <c r="O611" s="90"/>
      <c r="P611" s="90"/>
      <c r="Q611" s="90"/>
      <c r="R611" s="90"/>
      <c r="S611" s="90"/>
      <c r="T611" s="90"/>
      <c r="U611" s="90"/>
      <c r="V611" s="90"/>
      <c r="W611" s="90"/>
      <c r="X611" s="90"/>
      <c r="Y611" s="90"/>
      <c r="Z611" s="91"/>
    </row>
    <row r="612" spans="1:26" ht="14.4" x14ac:dyDescent="0.25">
      <c r="A612" s="92"/>
      <c r="B612" s="92"/>
      <c r="C612" s="93"/>
      <c r="D612" s="94"/>
      <c r="E612" s="94"/>
      <c r="F612" s="90"/>
      <c r="G612" s="90"/>
      <c r="H612" s="90"/>
      <c r="I612" s="90"/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/>
      <c r="Y612" s="90"/>
      <c r="Z612" s="91"/>
    </row>
    <row r="613" spans="1:26" ht="14.4" x14ac:dyDescent="0.25">
      <c r="A613" s="92"/>
      <c r="B613" s="92"/>
      <c r="C613" s="93"/>
      <c r="D613" s="94"/>
      <c r="E613" s="94"/>
      <c r="F613" s="90"/>
      <c r="G613" s="90"/>
      <c r="H613" s="90"/>
      <c r="I613" s="90"/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0"/>
      <c r="Y613" s="90"/>
      <c r="Z613" s="91"/>
    </row>
    <row r="614" spans="1:26" ht="14.4" x14ac:dyDescent="0.25">
      <c r="A614" s="92"/>
      <c r="B614" s="92"/>
      <c r="C614" s="93"/>
      <c r="D614" s="94"/>
      <c r="E614" s="94"/>
      <c r="F614" s="90"/>
      <c r="G614" s="90"/>
      <c r="H614" s="90"/>
      <c r="I614" s="90"/>
      <c r="J614" s="90"/>
      <c r="K614" s="90"/>
      <c r="L614" s="90"/>
      <c r="M614" s="90"/>
      <c r="N614" s="90"/>
      <c r="O614" s="90"/>
      <c r="P614" s="90"/>
      <c r="Q614" s="90"/>
      <c r="R614" s="90"/>
      <c r="S614" s="90"/>
      <c r="T614" s="90"/>
      <c r="U614" s="90"/>
      <c r="V614" s="90"/>
      <c r="W614" s="90"/>
      <c r="X614" s="90"/>
      <c r="Y614" s="90"/>
      <c r="Z614" s="91"/>
    </row>
    <row r="615" spans="1:26" ht="14.4" x14ac:dyDescent="0.25">
      <c r="A615" s="92"/>
      <c r="B615" s="92"/>
      <c r="C615" s="93"/>
      <c r="D615" s="94"/>
      <c r="E615" s="94"/>
      <c r="F615" s="90"/>
      <c r="G615" s="90"/>
      <c r="H615" s="90"/>
      <c r="I615" s="90"/>
      <c r="J615" s="90"/>
      <c r="K615" s="90"/>
      <c r="L615" s="90"/>
      <c r="M615" s="90"/>
      <c r="N615" s="90"/>
      <c r="O615" s="90"/>
      <c r="P615" s="90"/>
      <c r="Q615" s="90"/>
      <c r="R615" s="90"/>
      <c r="S615" s="90"/>
      <c r="T615" s="90"/>
      <c r="U615" s="90"/>
      <c r="V615" s="90"/>
      <c r="W615" s="90"/>
      <c r="X615" s="90"/>
      <c r="Y615" s="90"/>
      <c r="Z615" s="91"/>
    </row>
    <row r="616" spans="1:26" ht="14.4" x14ac:dyDescent="0.25">
      <c r="A616" s="92"/>
      <c r="B616" s="92"/>
      <c r="C616" s="93"/>
      <c r="D616" s="94"/>
      <c r="E616" s="94"/>
      <c r="F616" s="90"/>
      <c r="G616" s="90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1"/>
    </row>
    <row r="617" spans="1:26" ht="14.4" x14ac:dyDescent="0.25">
      <c r="A617" s="92"/>
      <c r="B617" s="92"/>
      <c r="C617" s="93"/>
      <c r="D617" s="94"/>
      <c r="E617" s="94"/>
      <c r="F617" s="90"/>
      <c r="G617" s="90"/>
      <c r="H617" s="90"/>
      <c r="I617" s="90"/>
      <c r="J617" s="90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0"/>
      <c r="Y617" s="90"/>
      <c r="Z617" s="91"/>
    </row>
    <row r="618" spans="1:26" ht="14.4" x14ac:dyDescent="0.25">
      <c r="A618" s="92"/>
      <c r="B618" s="92"/>
      <c r="C618" s="93"/>
      <c r="D618" s="94"/>
      <c r="E618" s="94"/>
      <c r="F618" s="90"/>
      <c r="G618" s="90"/>
      <c r="H618" s="90"/>
      <c r="I618" s="90"/>
      <c r="J618" s="90"/>
      <c r="K618" s="90"/>
      <c r="L618" s="90"/>
      <c r="M618" s="90"/>
      <c r="N618" s="90"/>
      <c r="O618" s="90"/>
      <c r="P618" s="90"/>
      <c r="Q618" s="90"/>
      <c r="R618" s="90"/>
      <c r="S618" s="90"/>
      <c r="T618" s="90"/>
      <c r="U618" s="90"/>
      <c r="V618" s="90"/>
      <c r="W618" s="90"/>
      <c r="X618" s="90"/>
      <c r="Y618" s="90"/>
      <c r="Z618" s="91"/>
    </row>
    <row r="619" spans="1:26" ht="14.4" x14ac:dyDescent="0.25">
      <c r="A619" s="92"/>
      <c r="B619" s="92"/>
      <c r="C619" s="93"/>
      <c r="D619" s="94"/>
      <c r="E619" s="94"/>
      <c r="F619" s="90"/>
      <c r="G619" s="90"/>
      <c r="H619" s="90"/>
      <c r="I619" s="90"/>
      <c r="J619" s="90"/>
      <c r="K619" s="90"/>
      <c r="L619" s="90"/>
      <c r="M619" s="90"/>
      <c r="N619" s="90"/>
      <c r="O619" s="90"/>
      <c r="P619" s="90"/>
      <c r="Q619" s="90"/>
      <c r="R619" s="90"/>
      <c r="S619" s="90"/>
      <c r="T619" s="90"/>
      <c r="U619" s="90"/>
      <c r="V619" s="90"/>
      <c r="W619" s="90"/>
      <c r="X619" s="90"/>
      <c r="Y619" s="90"/>
      <c r="Z619" s="91"/>
    </row>
    <row r="620" spans="1:26" ht="14.4" x14ac:dyDescent="0.25">
      <c r="A620" s="92"/>
      <c r="B620" s="92"/>
      <c r="C620" s="93"/>
      <c r="D620" s="94"/>
      <c r="E620" s="94"/>
      <c r="F620" s="90"/>
      <c r="G620" s="90"/>
      <c r="H620" s="90"/>
      <c r="I620" s="90"/>
      <c r="J620" s="90"/>
      <c r="K620" s="90"/>
      <c r="L620" s="90"/>
      <c r="M620" s="90"/>
      <c r="N620" s="90"/>
      <c r="O620" s="90"/>
      <c r="P620" s="90"/>
      <c r="Q620" s="90"/>
      <c r="R620" s="90"/>
      <c r="S620" s="90"/>
      <c r="T620" s="90"/>
      <c r="U620" s="90"/>
      <c r="V620" s="90"/>
      <c r="W620" s="90"/>
      <c r="X620" s="90"/>
      <c r="Y620" s="90"/>
      <c r="Z620" s="91"/>
    </row>
    <row r="621" spans="1:26" ht="14.4" x14ac:dyDescent="0.25">
      <c r="A621" s="92"/>
      <c r="B621" s="92"/>
      <c r="C621" s="93"/>
      <c r="D621" s="94"/>
      <c r="E621" s="94"/>
      <c r="F621" s="90"/>
      <c r="G621" s="90"/>
      <c r="H621" s="90"/>
      <c r="I621" s="90"/>
      <c r="J621" s="90"/>
      <c r="K621" s="90"/>
      <c r="L621" s="90"/>
      <c r="M621" s="90"/>
      <c r="N621" s="90"/>
      <c r="O621" s="90"/>
      <c r="P621" s="90"/>
      <c r="Q621" s="90"/>
      <c r="R621" s="90"/>
      <c r="S621" s="90"/>
      <c r="T621" s="90"/>
      <c r="U621" s="90"/>
      <c r="V621" s="90"/>
      <c r="W621" s="90"/>
      <c r="X621" s="90"/>
      <c r="Y621" s="90"/>
      <c r="Z621" s="91"/>
    </row>
    <row r="622" spans="1:26" ht="14.4" x14ac:dyDescent="0.25">
      <c r="A622" s="92"/>
      <c r="B622" s="92"/>
      <c r="C622" s="93"/>
      <c r="D622" s="94"/>
      <c r="E622" s="94"/>
      <c r="F622" s="90"/>
      <c r="G622" s="90"/>
      <c r="H622" s="90"/>
      <c r="I622" s="90"/>
      <c r="J622" s="90"/>
      <c r="K622" s="90"/>
      <c r="L622" s="90"/>
      <c r="M622" s="90"/>
      <c r="N622" s="90"/>
      <c r="O622" s="90"/>
      <c r="P622" s="90"/>
      <c r="Q622" s="90"/>
      <c r="R622" s="90"/>
      <c r="S622" s="90"/>
      <c r="T622" s="90"/>
      <c r="U622" s="90"/>
      <c r="V622" s="90"/>
      <c r="W622" s="90"/>
      <c r="X622" s="90"/>
      <c r="Y622" s="90"/>
      <c r="Z622" s="91"/>
    </row>
    <row r="623" spans="1:26" ht="14.4" x14ac:dyDescent="0.25">
      <c r="A623" s="92"/>
      <c r="B623" s="92"/>
      <c r="C623" s="93"/>
      <c r="D623" s="94"/>
      <c r="E623" s="94"/>
      <c r="F623" s="90"/>
      <c r="G623" s="90"/>
      <c r="H623" s="90"/>
      <c r="I623" s="90"/>
      <c r="J623" s="90"/>
      <c r="K623" s="90"/>
      <c r="L623" s="90"/>
      <c r="M623" s="90"/>
      <c r="N623" s="90"/>
      <c r="O623" s="90"/>
      <c r="P623" s="90"/>
      <c r="Q623" s="90"/>
      <c r="R623" s="90"/>
      <c r="S623" s="90"/>
      <c r="T623" s="90"/>
      <c r="U623" s="90"/>
      <c r="V623" s="90"/>
      <c r="W623" s="90"/>
      <c r="X623" s="90"/>
      <c r="Y623" s="90"/>
      <c r="Z623" s="91"/>
    </row>
    <row r="624" spans="1:26" ht="14.4" x14ac:dyDescent="0.25">
      <c r="A624" s="92"/>
      <c r="B624" s="92"/>
      <c r="C624" s="93"/>
      <c r="D624" s="94"/>
      <c r="E624" s="94"/>
      <c r="F624" s="90"/>
      <c r="G624" s="90"/>
      <c r="H624" s="90"/>
      <c r="I624" s="90"/>
      <c r="J624" s="90"/>
      <c r="K624" s="90"/>
      <c r="L624" s="90"/>
      <c r="M624" s="90"/>
      <c r="N624" s="90"/>
      <c r="O624" s="90"/>
      <c r="P624" s="90"/>
      <c r="Q624" s="90"/>
      <c r="R624" s="90"/>
      <c r="S624" s="90"/>
      <c r="T624" s="90"/>
      <c r="U624" s="90"/>
      <c r="V624" s="90"/>
      <c r="W624" s="90"/>
      <c r="X624" s="90"/>
      <c r="Y624" s="90"/>
      <c r="Z624" s="91"/>
    </row>
    <row r="625" spans="1:26" ht="14.4" x14ac:dyDescent="0.25">
      <c r="A625" s="92"/>
      <c r="B625" s="92"/>
      <c r="C625" s="93"/>
      <c r="D625" s="94"/>
      <c r="E625" s="94"/>
      <c r="F625" s="90"/>
      <c r="G625" s="90"/>
      <c r="H625" s="90"/>
      <c r="I625" s="90"/>
      <c r="J625" s="90"/>
      <c r="K625" s="90"/>
      <c r="L625" s="90"/>
      <c r="M625" s="90"/>
      <c r="N625" s="90"/>
      <c r="O625" s="90"/>
      <c r="P625" s="90"/>
      <c r="Q625" s="90"/>
      <c r="R625" s="90"/>
      <c r="S625" s="90"/>
      <c r="T625" s="90"/>
      <c r="U625" s="90"/>
      <c r="V625" s="90"/>
      <c r="W625" s="90"/>
      <c r="X625" s="90"/>
      <c r="Y625" s="90"/>
      <c r="Z625" s="91"/>
    </row>
    <row r="626" spans="1:26" ht="14.4" x14ac:dyDescent="0.25">
      <c r="A626" s="92"/>
      <c r="B626" s="92"/>
      <c r="C626" s="93"/>
      <c r="D626" s="94"/>
      <c r="E626" s="94"/>
      <c r="F626" s="90"/>
      <c r="G626" s="90"/>
      <c r="H626" s="90"/>
      <c r="I626" s="90"/>
      <c r="J626" s="90"/>
      <c r="K626" s="90"/>
      <c r="L626" s="90"/>
      <c r="M626" s="90"/>
      <c r="N626" s="90"/>
      <c r="O626" s="90"/>
      <c r="P626" s="90"/>
      <c r="Q626" s="90"/>
      <c r="R626" s="90"/>
      <c r="S626" s="90"/>
      <c r="T626" s="90"/>
      <c r="U626" s="90"/>
      <c r="V626" s="90"/>
      <c r="W626" s="90"/>
      <c r="X626" s="90"/>
      <c r="Y626" s="90"/>
      <c r="Z626" s="91"/>
    </row>
    <row r="627" spans="1:26" ht="14.4" x14ac:dyDescent="0.25">
      <c r="A627" s="92"/>
      <c r="B627" s="92"/>
      <c r="C627" s="93"/>
      <c r="D627" s="94"/>
      <c r="E627" s="94"/>
      <c r="F627" s="90"/>
      <c r="G627" s="90"/>
      <c r="H627" s="90"/>
      <c r="I627" s="90"/>
      <c r="J627" s="90"/>
      <c r="K627" s="90"/>
      <c r="L627" s="90"/>
      <c r="M627" s="90"/>
      <c r="N627" s="90"/>
      <c r="O627" s="90"/>
      <c r="P627" s="90"/>
      <c r="Q627" s="90"/>
      <c r="R627" s="90"/>
      <c r="S627" s="90"/>
      <c r="T627" s="90"/>
      <c r="U627" s="90"/>
      <c r="V627" s="90"/>
      <c r="W627" s="90"/>
      <c r="X627" s="90"/>
      <c r="Y627" s="90"/>
      <c r="Z627" s="91"/>
    </row>
    <row r="628" spans="1:26" ht="14.4" x14ac:dyDescent="0.25">
      <c r="A628" s="92"/>
      <c r="B628" s="92"/>
      <c r="C628" s="93"/>
      <c r="D628" s="94"/>
      <c r="E628" s="94"/>
      <c r="F628" s="90"/>
      <c r="G628" s="90"/>
      <c r="H628" s="90"/>
      <c r="I628" s="90"/>
      <c r="J628" s="90"/>
      <c r="K628" s="90"/>
      <c r="L628" s="90"/>
      <c r="M628" s="90"/>
      <c r="N628" s="90"/>
      <c r="O628" s="90"/>
      <c r="P628" s="90"/>
      <c r="Q628" s="90"/>
      <c r="R628" s="90"/>
      <c r="S628" s="90"/>
      <c r="T628" s="90"/>
      <c r="U628" s="90"/>
      <c r="V628" s="90"/>
      <c r="W628" s="90"/>
      <c r="X628" s="90"/>
      <c r="Y628" s="90"/>
      <c r="Z628" s="91"/>
    </row>
    <row r="629" spans="1:26" ht="14.4" x14ac:dyDescent="0.25">
      <c r="A629" s="92"/>
      <c r="B629" s="92"/>
      <c r="C629" s="93"/>
      <c r="D629" s="94"/>
      <c r="E629" s="94"/>
      <c r="F629" s="90"/>
      <c r="G629" s="90"/>
      <c r="H629" s="90"/>
      <c r="I629" s="90"/>
      <c r="J629" s="90"/>
      <c r="K629" s="90"/>
      <c r="L629" s="90"/>
      <c r="M629" s="90"/>
      <c r="N629" s="90"/>
      <c r="O629" s="90"/>
      <c r="P629" s="90"/>
      <c r="Q629" s="90"/>
      <c r="R629" s="90"/>
      <c r="S629" s="90"/>
      <c r="T629" s="90"/>
      <c r="U629" s="90"/>
      <c r="V629" s="90"/>
      <c r="W629" s="90"/>
      <c r="X629" s="90"/>
      <c r="Y629" s="90"/>
      <c r="Z629" s="91"/>
    </row>
    <row r="630" spans="1:26" ht="14.4" x14ac:dyDescent="0.25">
      <c r="A630" s="92"/>
      <c r="B630" s="92"/>
      <c r="C630" s="93"/>
      <c r="D630" s="94"/>
      <c r="E630" s="94"/>
      <c r="F630" s="90"/>
      <c r="G630" s="90"/>
      <c r="H630" s="90"/>
      <c r="I630" s="90"/>
      <c r="J630" s="90"/>
      <c r="K630" s="90"/>
      <c r="L630" s="90"/>
      <c r="M630" s="90"/>
      <c r="N630" s="90"/>
      <c r="O630" s="90"/>
      <c r="P630" s="90"/>
      <c r="Q630" s="90"/>
      <c r="R630" s="90"/>
      <c r="S630" s="90"/>
      <c r="T630" s="90"/>
      <c r="U630" s="90"/>
      <c r="V630" s="90"/>
      <c r="W630" s="90"/>
      <c r="X630" s="90"/>
      <c r="Y630" s="90"/>
      <c r="Z630" s="91"/>
    </row>
    <row r="631" spans="1:26" ht="14.4" x14ac:dyDescent="0.25">
      <c r="A631" s="92"/>
      <c r="B631" s="92"/>
      <c r="C631" s="93"/>
      <c r="D631" s="94"/>
      <c r="E631" s="94"/>
      <c r="F631" s="90"/>
      <c r="G631" s="90"/>
      <c r="H631" s="90"/>
      <c r="I631" s="90"/>
      <c r="J631" s="90"/>
      <c r="K631" s="90"/>
      <c r="L631" s="90"/>
      <c r="M631" s="90"/>
      <c r="N631" s="90"/>
      <c r="O631" s="90"/>
      <c r="P631" s="90"/>
      <c r="Q631" s="90"/>
      <c r="R631" s="90"/>
      <c r="S631" s="90"/>
      <c r="T631" s="90"/>
      <c r="U631" s="90"/>
      <c r="V631" s="90"/>
      <c r="W631" s="90"/>
      <c r="X631" s="90"/>
      <c r="Y631" s="90"/>
      <c r="Z631" s="91"/>
    </row>
    <row r="632" spans="1:26" ht="14.4" x14ac:dyDescent="0.25">
      <c r="A632" s="92"/>
      <c r="B632" s="92"/>
      <c r="C632" s="93"/>
      <c r="D632" s="94"/>
      <c r="E632" s="94"/>
      <c r="F632" s="90"/>
      <c r="G632" s="90"/>
      <c r="H632" s="90"/>
      <c r="I632" s="90"/>
      <c r="J632" s="90"/>
      <c r="K632" s="90"/>
      <c r="L632" s="90"/>
      <c r="M632" s="90"/>
      <c r="N632" s="90"/>
      <c r="O632" s="90"/>
      <c r="P632" s="90"/>
      <c r="Q632" s="90"/>
      <c r="R632" s="90"/>
      <c r="S632" s="90"/>
      <c r="T632" s="90"/>
      <c r="U632" s="90"/>
      <c r="V632" s="90"/>
      <c r="W632" s="90"/>
      <c r="X632" s="90"/>
      <c r="Y632" s="90"/>
      <c r="Z632" s="91"/>
    </row>
    <row r="633" spans="1:26" ht="14.4" x14ac:dyDescent="0.25">
      <c r="A633" s="92"/>
      <c r="B633" s="92"/>
      <c r="C633" s="93"/>
      <c r="D633" s="94"/>
      <c r="E633" s="94"/>
      <c r="F633" s="90"/>
      <c r="G633" s="90"/>
      <c r="H633" s="90"/>
      <c r="I633" s="90"/>
      <c r="J633" s="90"/>
      <c r="K633" s="90"/>
      <c r="L633" s="90"/>
      <c r="M633" s="90"/>
      <c r="N633" s="90"/>
      <c r="O633" s="90"/>
      <c r="P633" s="90"/>
      <c r="Q633" s="90"/>
      <c r="R633" s="90"/>
      <c r="S633" s="90"/>
      <c r="T633" s="90"/>
      <c r="U633" s="90"/>
      <c r="V633" s="90"/>
      <c r="W633" s="90"/>
      <c r="X633" s="90"/>
      <c r="Y633" s="90"/>
      <c r="Z633" s="91"/>
    </row>
    <row r="634" spans="1:26" ht="14.4" x14ac:dyDescent="0.25">
      <c r="A634" s="92"/>
      <c r="B634" s="92"/>
      <c r="C634" s="93"/>
      <c r="D634" s="94"/>
      <c r="E634" s="94"/>
      <c r="F634" s="90"/>
      <c r="G634" s="90"/>
      <c r="H634" s="90"/>
      <c r="I634" s="90"/>
      <c r="J634" s="90"/>
      <c r="K634" s="90"/>
      <c r="L634" s="90"/>
      <c r="M634" s="90"/>
      <c r="N634" s="90"/>
      <c r="O634" s="90"/>
      <c r="P634" s="90"/>
      <c r="Q634" s="90"/>
      <c r="R634" s="90"/>
      <c r="S634" s="90"/>
      <c r="T634" s="90"/>
      <c r="U634" s="90"/>
      <c r="V634" s="90"/>
      <c r="W634" s="90"/>
      <c r="X634" s="90"/>
      <c r="Y634" s="90"/>
      <c r="Z634" s="91"/>
    </row>
    <row r="635" spans="1:26" ht="14.4" x14ac:dyDescent="0.25">
      <c r="A635" s="92"/>
      <c r="B635" s="92"/>
      <c r="C635" s="93"/>
      <c r="D635" s="94"/>
      <c r="E635" s="94"/>
      <c r="F635" s="90"/>
      <c r="G635" s="90"/>
      <c r="H635" s="90"/>
      <c r="I635" s="90"/>
      <c r="J635" s="90"/>
      <c r="K635" s="90"/>
      <c r="L635" s="90"/>
      <c r="M635" s="90"/>
      <c r="N635" s="90"/>
      <c r="O635" s="90"/>
      <c r="P635" s="90"/>
      <c r="Q635" s="90"/>
      <c r="R635" s="90"/>
      <c r="S635" s="90"/>
      <c r="T635" s="90"/>
      <c r="U635" s="90"/>
      <c r="V635" s="90"/>
      <c r="W635" s="90"/>
      <c r="X635" s="90"/>
      <c r="Y635" s="90"/>
      <c r="Z635" s="91"/>
    </row>
    <row r="636" spans="1:26" ht="14.4" x14ac:dyDescent="0.25">
      <c r="A636" s="92"/>
      <c r="B636" s="92"/>
      <c r="C636" s="93"/>
      <c r="D636" s="94"/>
      <c r="E636" s="94"/>
      <c r="F636" s="90"/>
      <c r="G636" s="90"/>
      <c r="H636" s="90"/>
      <c r="I636" s="90"/>
      <c r="J636" s="90"/>
      <c r="K636" s="90"/>
      <c r="L636" s="90"/>
      <c r="M636" s="90"/>
      <c r="N636" s="90"/>
      <c r="O636" s="90"/>
      <c r="P636" s="90"/>
      <c r="Q636" s="90"/>
      <c r="R636" s="90"/>
      <c r="S636" s="90"/>
      <c r="T636" s="90"/>
      <c r="U636" s="90"/>
      <c r="V636" s="90"/>
      <c r="W636" s="90"/>
      <c r="X636" s="90"/>
      <c r="Y636" s="90"/>
      <c r="Z636" s="91"/>
    </row>
    <row r="637" spans="1:26" ht="14.4" x14ac:dyDescent="0.25">
      <c r="A637" s="92"/>
      <c r="B637" s="92"/>
      <c r="C637" s="93"/>
      <c r="D637" s="94"/>
      <c r="E637" s="94"/>
      <c r="F637" s="90"/>
      <c r="G637" s="90"/>
      <c r="H637" s="90"/>
      <c r="I637" s="90"/>
      <c r="J637" s="90"/>
      <c r="K637" s="90"/>
      <c r="L637" s="90"/>
      <c r="M637" s="90"/>
      <c r="N637" s="90"/>
      <c r="O637" s="90"/>
      <c r="P637" s="90"/>
      <c r="Q637" s="90"/>
      <c r="R637" s="90"/>
      <c r="S637" s="90"/>
      <c r="T637" s="90"/>
      <c r="U637" s="90"/>
      <c r="V637" s="90"/>
      <c r="W637" s="90"/>
      <c r="X637" s="90"/>
      <c r="Y637" s="90"/>
      <c r="Z637" s="91"/>
    </row>
    <row r="638" spans="1:26" ht="14.4" x14ac:dyDescent="0.25">
      <c r="A638" s="92"/>
      <c r="B638" s="92"/>
      <c r="C638" s="93"/>
      <c r="D638" s="94"/>
      <c r="E638" s="94"/>
      <c r="F638" s="90"/>
      <c r="G638" s="90"/>
      <c r="H638" s="90"/>
      <c r="I638" s="90"/>
      <c r="J638" s="90"/>
      <c r="K638" s="90"/>
      <c r="L638" s="90"/>
      <c r="M638" s="90"/>
      <c r="N638" s="90"/>
      <c r="O638" s="90"/>
      <c r="P638" s="90"/>
      <c r="Q638" s="90"/>
      <c r="R638" s="90"/>
      <c r="S638" s="90"/>
      <c r="T638" s="90"/>
      <c r="U638" s="90"/>
      <c r="V638" s="90"/>
      <c r="W638" s="90"/>
      <c r="X638" s="90"/>
      <c r="Y638" s="90"/>
      <c r="Z638" s="91"/>
    </row>
    <row r="639" spans="1:26" ht="14.4" x14ac:dyDescent="0.25">
      <c r="A639" s="92"/>
      <c r="B639" s="92"/>
      <c r="C639" s="93"/>
      <c r="D639" s="94"/>
      <c r="E639" s="94"/>
      <c r="F639" s="90"/>
      <c r="G639" s="90"/>
      <c r="H639" s="90"/>
      <c r="I639" s="90"/>
      <c r="J639" s="90"/>
      <c r="K639" s="90"/>
      <c r="L639" s="90"/>
      <c r="M639" s="90"/>
      <c r="N639" s="90"/>
      <c r="O639" s="90"/>
      <c r="P639" s="90"/>
      <c r="Q639" s="90"/>
      <c r="R639" s="90"/>
      <c r="S639" s="90"/>
      <c r="T639" s="90"/>
      <c r="U639" s="90"/>
      <c r="V639" s="90"/>
      <c r="W639" s="90"/>
      <c r="X639" s="90"/>
      <c r="Y639" s="90"/>
      <c r="Z639" s="91"/>
    </row>
    <row r="640" spans="1:26" ht="14.4" x14ac:dyDescent="0.25">
      <c r="A640" s="92"/>
      <c r="B640" s="92"/>
      <c r="C640" s="93"/>
      <c r="D640" s="94"/>
      <c r="E640" s="94"/>
      <c r="F640" s="90"/>
      <c r="G640" s="90"/>
      <c r="H640" s="90"/>
      <c r="I640" s="90"/>
      <c r="J640" s="90"/>
      <c r="K640" s="90"/>
      <c r="L640" s="90"/>
      <c r="M640" s="90"/>
      <c r="N640" s="90"/>
      <c r="O640" s="90"/>
      <c r="P640" s="90"/>
      <c r="Q640" s="90"/>
      <c r="R640" s="90"/>
      <c r="S640" s="90"/>
      <c r="T640" s="90"/>
      <c r="U640" s="90"/>
      <c r="V640" s="90"/>
      <c r="W640" s="90"/>
      <c r="X640" s="90"/>
      <c r="Y640" s="90"/>
      <c r="Z640" s="91"/>
    </row>
    <row r="641" spans="1:26" ht="14.4" x14ac:dyDescent="0.25">
      <c r="A641" s="92"/>
      <c r="B641" s="92"/>
      <c r="C641" s="93"/>
      <c r="D641" s="94"/>
      <c r="E641" s="94"/>
      <c r="F641" s="90"/>
      <c r="G641" s="90"/>
      <c r="H641" s="90"/>
      <c r="I641" s="90"/>
      <c r="J641" s="90"/>
      <c r="K641" s="90"/>
      <c r="L641" s="90"/>
      <c r="M641" s="90"/>
      <c r="N641" s="90"/>
      <c r="O641" s="90"/>
      <c r="P641" s="90"/>
      <c r="Q641" s="90"/>
      <c r="R641" s="90"/>
      <c r="S641" s="90"/>
      <c r="T641" s="90"/>
      <c r="U641" s="90"/>
      <c r="V641" s="90"/>
      <c r="W641" s="90"/>
      <c r="X641" s="90"/>
      <c r="Y641" s="90"/>
      <c r="Z641" s="91"/>
    </row>
    <row r="642" spans="1:26" ht="14.4" x14ac:dyDescent="0.25">
      <c r="A642" s="92"/>
      <c r="B642" s="92"/>
      <c r="C642" s="93"/>
      <c r="D642" s="94"/>
      <c r="E642" s="94"/>
      <c r="F642" s="90"/>
      <c r="G642" s="90"/>
      <c r="H642" s="90"/>
      <c r="I642" s="90"/>
      <c r="J642" s="90"/>
      <c r="K642" s="90"/>
      <c r="L642" s="90"/>
      <c r="M642" s="90"/>
      <c r="N642" s="90"/>
      <c r="O642" s="90"/>
      <c r="P642" s="90"/>
      <c r="Q642" s="90"/>
      <c r="R642" s="90"/>
      <c r="S642" s="90"/>
      <c r="T642" s="90"/>
      <c r="U642" s="90"/>
      <c r="V642" s="90"/>
      <c r="W642" s="90"/>
      <c r="X642" s="90"/>
      <c r="Y642" s="90"/>
      <c r="Z642" s="91"/>
    </row>
    <row r="643" spans="1:26" ht="14.4" x14ac:dyDescent="0.25">
      <c r="A643" s="92"/>
      <c r="B643" s="92"/>
      <c r="C643" s="93"/>
      <c r="D643" s="94"/>
      <c r="E643" s="94"/>
      <c r="F643" s="90"/>
      <c r="G643" s="90"/>
      <c r="H643" s="90"/>
      <c r="I643" s="90"/>
      <c r="J643" s="90"/>
      <c r="K643" s="90"/>
      <c r="L643" s="90"/>
      <c r="M643" s="90"/>
      <c r="N643" s="90"/>
      <c r="O643" s="90"/>
      <c r="P643" s="90"/>
      <c r="Q643" s="90"/>
      <c r="R643" s="90"/>
      <c r="S643" s="90"/>
      <c r="T643" s="90"/>
      <c r="U643" s="90"/>
      <c r="V643" s="90"/>
      <c r="W643" s="90"/>
      <c r="X643" s="90"/>
      <c r="Y643" s="90"/>
      <c r="Z643" s="91"/>
    </row>
    <row r="644" spans="1:26" ht="14.4" x14ac:dyDescent="0.25">
      <c r="A644" s="92"/>
      <c r="B644" s="92"/>
      <c r="C644" s="93"/>
      <c r="D644" s="94"/>
      <c r="E644" s="94"/>
      <c r="F644" s="90"/>
      <c r="G644" s="90"/>
      <c r="H644" s="90"/>
      <c r="I644" s="90"/>
      <c r="J644" s="90"/>
      <c r="K644" s="90"/>
      <c r="L644" s="90"/>
      <c r="M644" s="90"/>
      <c r="N644" s="90"/>
      <c r="O644" s="90"/>
      <c r="P644" s="90"/>
      <c r="Q644" s="90"/>
      <c r="R644" s="90"/>
      <c r="S644" s="90"/>
      <c r="T644" s="90"/>
      <c r="U644" s="90"/>
      <c r="V644" s="90"/>
      <c r="W644" s="90"/>
      <c r="X644" s="90"/>
      <c r="Y644" s="90"/>
      <c r="Z644" s="91"/>
    </row>
    <row r="645" spans="1:26" ht="14.4" x14ac:dyDescent="0.25">
      <c r="A645" s="92"/>
      <c r="B645" s="92"/>
      <c r="C645" s="93"/>
      <c r="D645" s="94"/>
      <c r="E645" s="94"/>
      <c r="F645" s="90"/>
      <c r="G645" s="90"/>
      <c r="H645" s="90"/>
      <c r="I645" s="90"/>
      <c r="J645" s="90"/>
      <c r="K645" s="90"/>
      <c r="L645" s="90"/>
      <c r="M645" s="90"/>
      <c r="N645" s="90"/>
      <c r="O645" s="90"/>
      <c r="P645" s="90"/>
      <c r="Q645" s="90"/>
      <c r="R645" s="90"/>
      <c r="S645" s="90"/>
      <c r="T645" s="90"/>
      <c r="U645" s="90"/>
      <c r="V645" s="90"/>
      <c r="W645" s="90"/>
      <c r="X645" s="90"/>
      <c r="Y645" s="90"/>
      <c r="Z645" s="91"/>
    </row>
    <row r="646" spans="1:26" ht="14.4" x14ac:dyDescent="0.25">
      <c r="A646" s="92"/>
      <c r="B646" s="92"/>
      <c r="C646" s="93"/>
      <c r="D646" s="94"/>
      <c r="E646" s="94"/>
      <c r="F646" s="90"/>
      <c r="G646" s="90"/>
      <c r="H646" s="90"/>
      <c r="I646" s="90"/>
      <c r="J646" s="90"/>
      <c r="K646" s="90"/>
      <c r="L646" s="90"/>
      <c r="M646" s="90"/>
      <c r="N646" s="90"/>
      <c r="O646" s="90"/>
      <c r="P646" s="90"/>
      <c r="Q646" s="90"/>
      <c r="R646" s="90"/>
      <c r="S646" s="90"/>
      <c r="T646" s="90"/>
      <c r="U646" s="90"/>
      <c r="V646" s="90"/>
      <c r="W646" s="90"/>
      <c r="X646" s="90"/>
      <c r="Y646" s="90"/>
      <c r="Z646" s="91"/>
    </row>
    <row r="647" spans="1:26" ht="14.4" x14ac:dyDescent="0.25">
      <c r="A647" s="92"/>
      <c r="B647" s="92"/>
      <c r="C647" s="93"/>
      <c r="D647" s="94"/>
      <c r="E647" s="94"/>
      <c r="F647" s="90"/>
      <c r="G647" s="90"/>
      <c r="H647" s="90"/>
      <c r="I647" s="90"/>
      <c r="J647" s="90"/>
      <c r="K647" s="90"/>
      <c r="L647" s="90"/>
      <c r="M647" s="90"/>
      <c r="N647" s="90"/>
      <c r="O647" s="90"/>
      <c r="P647" s="90"/>
      <c r="Q647" s="90"/>
      <c r="R647" s="90"/>
      <c r="S647" s="90"/>
      <c r="T647" s="90"/>
      <c r="U647" s="90"/>
      <c r="V647" s="90"/>
      <c r="W647" s="90"/>
      <c r="X647" s="90"/>
      <c r="Y647" s="90"/>
      <c r="Z647" s="91"/>
    </row>
    <row r="648" spans="1:26" ht="14.4" x14ac:dyDescent="0.25">
      <c r="A648" s="92"/>
      <c r="B648" s="92"/>
      <c r="C648" s="93"/>
      <c r="D648" s="94"/>
      <c r="E648" s="94"/>
      <c r="F648" s="90"/>
      <c r="G648" s="90"/>
      <c r="H648" s="90"/>
      <c r="I648" s="90"/>
      <c r="J648" s="90"/>
      <c r="K648" s="90"/>
      <c r="L648" s="90"/>
      <c r="M648" s="90"/>
      <c r="N648" s="90"/>
      <c r="O648" s="90"/>
      <c r="P648" s="90"/>
      <c r="Q648" s="90"/>
      <c r="R648" s="90"/>
      <c r="S648" s="90"/>
      <c r="T648" s="90"/>
      <c r="U648" s="90"/>
      <c r="V648" s="90"/>
      <c r="W648" s="90"/>
      <c r="X648" s="90"/>
      <c r="Y648" s="90"/>
      <c r="Z648" s="91"/>
    </row>
    <row r="649" spans="1:26" ht="14.4" x14ac:dyDescent="0.25">
      <c r="A649" s="92"/>
      <c r="B649" s="92"/>
      <c r="C649" s="93"/>
      <c r="D649" s="94"/>
      <c r="E649" s="94"/>
      <c r="F649" s="90"/>
      <c r="G649" s="90"/>
      <c r="H649" s="90"/>
      <c r="I649" s="90"/>
      <c r="J649" s="90"/>
      <c r="K649" s="90"/>
      <c r="L649" s="90"/>
      <c r="M649" s="90"/>
      <c r="N649" s="90"/>
      <c r="O649" s="90"/>
      <c r="P649" s="90"/>
      <c r="Q649" s="90"/>
      <c r="R649" s="90"/>
      <c r="S649" s="90"/>
      <c r="T649" s="90"/>
      <c r="U649" s="90"/>
      <c r="V649" s="90"/>
      <c r="W649" s="90"/>
      <c r="X649" s="90"/>
      <c r="Y649" s="90"/>
      <c r="Z649" s="91"/>
    </row>
    <row r="650" spans="1:26" ht="14.4" x14ac:dyDescent="0.25">
      <c r="A650" s="92"/>
      <c r="B650" s="92"/>
      <c r="C650" s="93"/>
      <c r="D650" s="94"/>
      <c r="E650" s="94"/>
      <c r="F650" s="90"/>
      <c r="G650" s="90"/>
      <c r="H650" s="90"/>
      <c r="I650" s="90"/>
      <c r="J650" s="90"/>
      <c r="K650" s="90"/>
      <c r="L650" s="90"/>
      <c r="M650" s="90"/>
      <c r="N650" s="90"/>
      <c r="O650" s="90"/>
      <c r="P650" s="90"/>
      <c r="Q650" s="90"/>
      <c r="R650" s="90"/>
      <c r="S650" s="90"/>
      <c r="T650" s="90"/>
      <c r="U650" s="90"/>
      <c r="V650" s="90"/>
      <c r="W650" s="90"/>
      <c r="X650" s="90"/>
      <c r="Y650" s="90"/>
      <c r="Z650" s="91"/>
    </row>
    <row r="651" spans="1:26" ht="14.4" x14ac:dyDescent="0.25">
      <c r="A651" s="92"/>
      <c r="B651" s="92"/>
      <c r="C651" s="93"/>
      <c r="D651" s="94"/>
      <c r="E651" s="94"/>
      <c r="F651" s="90"/>
      <c r="G651" s="90"/>
      <c r="H651" s="90"/>
      <c r="I651" s="90"/>
      <c r="J651" s="90"/>
      <c r="K651" s="90"/>
      <c r="L651" s="90"/>
      <c r="M651" s="90"/>
      <c r="N651" s="90"/>
      <c r="O651" s="90"/>
      <c r="P651" s="90"/>
      <c r="Q651" s="90"/>
      <c r="R651" s="90"/>
      <c r="S651" s="90"/>
      <c r="T651" s="90"/>
      <c r="U651" s="90"/>
      <c r="V651" s="90"/>
      <c r="W651" s="90"/>
      <c r="X651" s="90"/>
      <c r="Y651" s="90"/>
      <c r="Z651" s="91"/>
    </row>
    <row r="652" spans="1:26" ht="14.4" x14ac:dyDescent="0.25">
      <c r="A652" s="92"/>
      <c r="B652" s="92"/>
      <c r="C652" s="93"/>
      <c r="D652" s="94"/>
      <c r="E652" s="94"/>
      <c r="F652" s="90"/>
      <c r="G652" s="90"/>
      <c r="H652" s="90"/>
      <c r="I652" s="90"/>
      <c r="J652" s="90"/>
      <c r="K652" s="90"/>
      <c r="L652" s="90"/>
      <c r="M652" s="90"/>
      <c r="N652" s="90"/>
      <c r="O652" s="90"/>
      <c r="P652" s="90"/>
      <c r="Q652" s="90"/>
      <c r="R652" s="90"/>
      <c r="S652" s="90"/>
      <c r="T652" s="90"/>
      <c r="U652" s="90"/>
      <c r="V652" s="90"/>
      <c r="W652" s="90"/>
      <c r="X652" s="90"/>
      <c r="Y652" s="90"/>
      <c r="Z652" s="91"/>
    </row>
    <row r="653" spans="1:26" ht="14.4" x14ac:dyDescent="0.25">
      <c r="A653" s="92"/>
      <c r="B653" s="92"/>
      <c r="C653" s="93"/>
      <c r="D653" s="94"/>
      <c r="E653" s="94"/>
      <c r="F653" s="90"/>
      <c r="G653" s="90"/>
      <c r="H653" s="90"/>
      <c r="I653" s="90"/>
      <c r="J653" s="90"/>
      <c r="K653" s="90"/>
      <c r="L653" s="90"/>
      <c r="M653" s="90"/>
      <c r="N653" s="90"/>
      <c r="O653" s="90"/>
      <c r="P653" s="90"/>
      <c r="Q653" s="90"/>
      <c r="R653" s="90"/>
      <c r="S653" s="90"/>
      <c r="T653" s="90"/>
      <c r="U653" s="90"/>
      <c r="V653" s="90"/>
      <c r="W653" s="90"/>
      <c r="X653" s="90"/>
      <c r="Y653" s="90"/>
      <c r="Z653" s="91"/>
    </row>
    <row r="654" spans="1:26" ht="14.4" x14ac:dyDescent="0.25">
      <c r="A654" s="92"/>
      <c r="B654" s="92"/>
      <c r="C654" s="93"/>
      <c r="D654" s="94"/>
      <c r="E654" s="94"/>
      <c r="F654" s="90"/>
      <c r="G654" s="90"/>
      <c r="H654" s="90"/>
      <c r="I654" s="90"/>
      <c r="J654" s="90"/>
      <c r="K654" s="90"/>
      <c r="L654" s="90"/>
      <c r="M654" s="90"/>
      <c r="N654" s="90"/>
      <c r="O654" s="90"/>
      <c r="P654" s="90"/>
      <c r="Q654" s="90"/>
      <c r="R654" s="90"/>
      <c r="S654" s="90"/>
      <c r="T654" s="90"/>
      <c r="U654" s="90"/>
      <c r="V654" s="90"/>
      <c r="W654" s="90"/>
      <c r="X654" s="90"/>
      <c r="Y654" s="90"/>
      <c r="Z654" s="91"/>
    </row>
    <row r="655" spans="1:26" ht="14.4" x14ac:dyDescent="0.25">
      <c r="A655" s="92"/>
      <c r="B655" s="92"/>
      <c r="C655" s="93"/>
      <c r="D655" s="94"/>
      <c r="E655" s="94"/>
      <c r="F655" s="90"/>
      <c r="G655" s="90"/>
      <c r="H655" s="90"/>
      <c r="I655" s="90"/>
      <c r="J655" s="90"/>
      <c r="K655" s="90"/>
      <c r="L655" s="90"/>
      <c r="M655" s="90"/>
      <c r="N655" s="90"/>
      <c r="O655" s="90"/>
      <c r="P655" s="90"/>
      <c r="Q655" s="90"/>
      <c r="R655" s="90"/>
      <c r="S655" s="90"/>
      <c r="T655" s="90"/>
      <c r="U655" s="90"/>
      <c r="V655" s="90"/>
      <c r="W655" s="90"/>
      <c r="X655" s="90"/>
      <c r="Y655" s="90"/>
      <c r="Z655" s="91"/>
    </row>
    <row r="656" spans="1:26" ht="14.4" x14ac:dyDescent="0.25">
      <c r="A656" s="92"/>
      <c r="B656" s="92"/>
      <c r="C656" s="93"/>
      <c r="D656" s="94"/>
      <c r="E656" s="94"/>
      <c r="F656" s="90"/>
      <c r="G656" s="90"/>
      <c r="H656" s="90"/>
      <c r="I656" s="90"/>
      <c r="J656" s="90"/>
      <c r="K656" s="90"/>
      <c r="L656" s="90"/>
      <c r="M656" s="90"/>
      <c r="N656" s="90"/>
      <c r="O656" s="90"/>
      <c r="P656" s="90"/>
      <c r="Q656" s="90"/>
      <c r="R656" s="90"/>
      <c r="S656" s="90"/>
      <c r="T656" s="90"/>
      <c r="U656" s="90"/>
      <c r="V656" s="90"/>
      <c r="W656" s="90"/>
      <c r="X656" s="90"/>
      <c r="Y656" s="90"/>
      <c r="Z656" s="91"/>
    </row>
    <row r="657" spans="1:26" ht="14.4" x14ac:dyDescent="0.25">
      <c r="A657" s="92"/>
      <c r="B657" s="92"/>
      <c r="C657" s="93"/>
      <c r="D657" s="94"/>
      <c r="E657" s="94"/>
      <c r="F657" s="90"/>
      <c r="G657" s="90"/>
      <c r="H657" s="90"/>
      <c r="I657" s="90"/>
      <c r="J657" s="90"/>
      <c r="K657" s="90"/>
      <c r="L657" s="90"/>
      <c r="M657" s="90"/>
      <c r="N657" s="90"/>
      <c r="O657" s="90"/>
      <c r="P657" s="90"/>
      <c r="Q657" s="90"/>
      <c r="R657" s="90"/>
      <c r="S657" s="90"/>
      <c r="T657" s="90"/>
      <c r="U657" s="90"/>
      <c r="V657" s="90"/>
      <c r="W657" s="90"/>
      <c r="X657" s="90"/>
      <c r="Y657" s="90"/>
      <c r="Z657" s="91"/>
    </row>
    <row r="658" spans="1:26" ht="14.4" x14ac:dyDescent="0.25">
      <c r="A658" s="92"/>
      <c r="B658" s="92"/>
      <c r="C658" s="93"/>
      <c r="D658" s="94"/>
      <c r="E658" s="94"/>
      <c r="F658" s="90"/>
      <c r="G658" s="90"/>
      <c r="H658" s="90"/>
      <c r="I658" s="90"/>
      <c r="J658" s="90"/>
      <c r="K658" s="90"/>
      <c r="L658" s="90"/>
      <c r="M658" s="90"/>
      <c r="N658" s="90"/>
      <c r="O658" s="90"/>
      <c r="P658" s="90"/>
      <c r="Q658" s="90"/>
      <c r="R658" s="90"/>
      <c r="S658" s="90"/>
      <c r="T658" s="90"/>
      <c r="U658" s="90"/>
      <c r="V658" s="90"/>
      <c r="W658" s="90"/>
      <c r="X658" s="90"/>
      <c r="Y658" s="90"/>
      <c r="Z658" s="91"/>
    </row>
    <row r="659" spans="1:26" ht="14.4" x14ac:dyDescent="0.25">
      <c r="A659" s="92"/>
      <c r="B659" s="92"/>
      <c r="C659" s="93"/>
      <c r="D659" s="94"/>
      <c r="E659" s="94"/>
      <c r="F659" s="90"/>
      <c r="G659" s="90"/>
      <c r="H659" s="90"/>
      <c r="I659" s="90"/>
      <c r="J659" s="90"/>
      <c r="K659" s="90"/>
      <c r="L659" s="90"/>
      <c r="M659" s="90"/>
      <c r="N659" s="90"/>
      <c r="O659" s="90"/>
      <c r="P659" s="90"/>
      <c r="Q659" s="90"/>
      <c r="R659" s="90"/>
      <c r="S659" s="90"/>
      <c r="T659" s="90"/>
      <c r="U659" s="90"/>
      <c r="V659" s="90"/>
      <c r="W659" s="90"/>
      <c r="X659" s="90"/>
      <c r="Y659" s="90"/>
      <c r="Z659" s="91"/>
    </row>
    <row r="660" spans="1:26" ht="14.4" x14ac:dyDescent="0.25">
      <c r="A660" s="92"/>
      <c r="B660" s="92"/>
      <c r="C660" s="93"/>
      <c r="D660" s="94"/>
      <c r="E660" s="94"/>
      <c r="F660" s="90"/>
      <c r="G660" s="90"/>
      <c r="H660" s="90"/>
      <c r="I660" s="90"/>
      <c r="J660" s="90"/>
      <c r="K660" s="90"/>
      <c r="L660" s="90"/>
      <c r="M660" s="90"/>
      <c r="N660" s="90"/>
      <c r="O660" s="90"/>
      <c r="P660" s="90"/>
      <c r="Q660" s="90"/>
      <c r="R660" s="90"/>
      <c r="S660" s="90"/>
      <c r="T660" s="90"/>
      <c r="U660" s="90"/>
      <c r="V660" s="90"/>
      <c r="W660" s="90"/>
      <c r="X660" s="90"/>
      <c r="Y660" s="90"/>
      <c r="Z660" s="91"/>
    </row>
    <row r="661" spans="1:26" ht="14.4" x14ac:dyDescent="0.25">
      <c r="A661" s="92"/>
      <c r="B661" s="92"/>
      <c r="C661" s="93"/>
      <c r="D661" s="94"/>
      <c r="E661" s="94"/>
      <c r="F661" s="90"/>
      <c r="G661" s="90"/>
      <c r="H661" s="90"/>
      <c r="I661" s="90"/>
      <c r="J661" s="90"/>
      <c r="K661" s="90"/>
      <c r="L661" s="90"/>
      <c r="M661" s="90"/>
      <c r="N661" s="90"/>
      <c r="O661" s="90"/>
      <c r="P661" s="90"/>
      <c r="Q661" s="90"/>
      <c r="R661" s="90"/>
      <c r="S661" s="90"/>
      <c r="T661" s="90"/>
      <c r="U661" s="90"/>
      <c r="V661" s="90"/>
      <c r="W661" s="90"/>
      <c r="X661" s="90"/>
      <c r="Y661" s="90"/>
      <c r="Z661" s="91"/>
    </row>
    <row r="662" spans="1:26" ht="14.4" x14ac:dyDescent="0.25">
      <c r="A662" s="92"/>
      <c r="B662" s="92"/>
      <c r="C662" s="93"/>
      <c r="D662" s="94"/>
      <c r="E662" s="94"/>
      <c r="F662" s="90"/>
      <c r="G662" s="90"/>
      <c r="H662" s="90"/>
      <c r="I662" s="90"/>
      <c r="J662" s="90"/>
      <c r="K662" s="90"/>
      <c r="L662" s="90"/>
      <c r="M662" s="90"/>
      <c r="N662" s="90"/>
      <c r="O662" s="90"/>
      <c r="P662" s="90"/>
      <c r="Q662" s="90"/>
      <c r="R662" s="90"/>
      <c r="S662" s="90"/>
      <c r="T662" s="90"/>
      <c r="U662" s="90"/>
      <c r="V662" s="90"/>
      <c r="W662" s="90"/>
      <c r="X662" s="90"/>
      <c r="Y662" s="90"/>
      <c r="Z662" s="91"/>
    </row>
    <row r="663" spans="1:26" ht="14.4" x14ac:dyDescent="0.25">
      <c r="A663" s="92"/>
      <c r="B663" s="92"/>
      <c r="C663" s="93"/>
      <c r="D663" s="94"/>
      <c r="E663" s="94"/>
      <c r="F663" s="90"/>
      <c r="G663" s="90"/>
      <c r="H663" s="90"/>
      <c r="I663" s="90"/>
      <c r="J663" s="90"/>
      <c r="K663" s="90"/>
      <c r="L663" s="90"/>
      <c r="M663" s="90"/>
      <c r="N663" s="90"/>
      <c r="O663" s="90"/>
      <c r="P663" s="90"/>
      <c r="Q663" s="90"/>
      <c r="R663" s="90"/>
      <c r="S663" s="90"/>
      <c r="T663" s="90"/>
      <c r="U663" s="90"/>
      <c r="V663" s="90"/>
      <c r="W663" s="90"/>
      <c r="X663" s="90"/>
      <c r="Y663" s="90"/>
      <c r="Z663" s="91"/>
    </row>
    <row r="664" spans="1:26" ht="14.4" x14ac:dyDescent="0.25">
      <c r="A664" s="92"/>
      <c r="B664" s="92"/>
      <c r="C664" s="93"/>
      <c r="D664" s="94"/>
      <c r="E664" s="94"/>
      <c r="F664" s="90"/>
      <c r="G664" s="90"/>
      <c r="H664" s="90"/>
      <c r="I664" s="90"/>
      <c r="J664" s="90"/>
      <c r="K664" s="90"/>
      <c r="L664" s="90"/>
      <c r="M664" s="90"/>
      <c r="N664" s="90"/>
      <c r="O664" s="90"/>
      <c r="P664" s="90"/>
      <c r="Q664" s="90"/>
      <c r="R664" s="90"/>
      <c r="S664" s="90"/>
      <c r="T664" s="90"/>
      <c r="U664" s="90"/>
      <c r="V664" s="90"/>
      <c r="W664" s="90"/>
      <c r="X664" s="90"/>
      <c r="Y664" s="90"/>
      <c r="Z664" s="91"/>
    </row>
    <row r="665" spans="1:26" ht="14.4" x14ac:dyDescent="0.25">
      <c r="A665" s="92"/>
      <c r="B665" s="92"/>
      <c r="C665" s="93"/>
      <c r="D665" s="94"/>
      <c r="E665" s="94"/>
      <c r="F665" s="90"/>
      <c r="G665" s="90"/>
      <c r="H665" s="90"/>
      <c r="I665" s="90"/>
      <c r="J665" s="90"/>
      <c r="K665" s="90"/>
      <c r="L665" s="90"/>
      <c r="M665" s="90"/>
      <c r="N665" s="90"/>
      <c r="O665" s="90"/>
      <c r="P665" s="90"/>
      <c r="Q665" s="90"/>
      <c r="R665" s="90"/>
      <c r="S665" s="90"/>
      <c r="T665" s="90"/>
      <c r="U665" s="90"/>
      <c r="V665" s="90"/>
      <c r="W665" s="90"/>
      <c r="X665" s="90"/>
      <c r="Y665" s="90"/>
      <c r="Z665" s="91"/>
    </row>
    <row r="666" spans="1:26" ht="14.4" x14ac:dyDescent="0.25">
      <c r="A666" s="92"/>
      <c r="B666" s="92"/>
      <c r="C666" s="93"/>
      <c r="D666" s="94"/>
      <c r="E666" s="94"/>
      <c r="F666" s="90"/>
      <c r="G666" s="90"/>
      <c r="H666" s="90"/>
      <c r="I666" s="90"/>
      <c r="J666" s="90"/>
      <c r="K666" s="90"/>
      <c r="L666" s="90"/>
      <c r="M666" s="90"/>
      <c r="N666" s="90"/>
      <c r="O666" s="90"/>
      <c r="P666" s="90"/>
      <c r="Q666" s="90"/>
      <c r="R666" s="90"/>
      <c r="S666" s="90"/>
      <c r="T666" s="90"/>
      <c r="U666" s="90"/>
      <c r="V666" s="90"/>
      <c r="W666" s="90"/>
      <c r="X666" s="90"/>
      <c r="Y666" s="90"/>
      <c r="Z666" s="91"/>
    </row>
    <row r="667" spans="1:26" ht="14.4" x14ac:dyDescent="0.25">
      <c r="A667" s="92"/>
      <c r="B667" s="92"/>
      <c r="C667" s="93"/>
      <c r="D667" s="94"/>
      <c r="E667" s="94"/>
      <c r="F667" s="90"/>
      <c r="G667" s="90"/>
      <c r="H667" s="90"/>
      <c r="I667" s="90"/>
      <c r="J667" s="90"/>
      <c r="K667" s="90"/>
      <c r="L667" s="90"/>
      <c r="M667" s="90"/>
      <c r="N667" s="90"/>
      <c r="O667" s="90"/>
      <c r="P667" s="90"/>
      <c r="Q667" s="90"/>
      <c r="R667" s="90"/>
      <c r="S667" s="90"/>
      <c r="T667" s="90"/>
      <c r="U667" s="90"/>
      <c r="V667" s="90"/>
      <c r="W667" s="90"/>
      <c r="X667" s="90"/>
      <c r="Y667" s="90"/>
      <c r="Z667" s="91"/>
    </row>
    <row r="668" spans="1:26" ht="14.4" x14ac:dyDescent="0.25">
      <c r="A668" s="92"/>
      <c r="B668" s="92"/>
      <c r="C668" s="93"/>
      <c r="D668" s="94"/>
      <c r="E668" s="94"/>
      <c r="F668" s="90"/>
      <c r="G668" s="90"/>
      <c r="H668" s="90"/>
      <c r="I668" s="90"/>
      <c r="J668" s="90"/>
      <c r="K668" s="90"/>
      <c r="L668" s="90"/>
      <c r="M668" s="90"/>
      <c r="N668" s="90"/>
      <c r="O668" s="90"/>
      <c r="P668" s="90"/>
      <c r="Q668" s="90"/>
      <c r="R668" s="90"/>
      <c r="S668" s="90"/>
      <c r="T668" s="90"/>
      <c r="U668" s="90"/>
      <c r="V668" s="90"/>
      <c r="W668" s="90"/>
      <c r="X668" s="90"/>
      <c r="Y668" s="90"/>
      <c r="Z668" s="91"/>
    </row>
    <row r="669" spans="1:26" ht="14.4" x14ac:dyDescent="0.25">
      <c r="A669" s="92"/>
      <c r="B669" s="92"/>
      <c r="C669" s="93"/>
      <c r="D669" s="94"/>
      <c r="E669" s="94"/>
      <c r="F669" s="90"/>
      <c r="G669" s="90"/>
      <c r="H669" s="90"/>
      <c r="I669" s="90"/>
      <c r="J669" s="90"/>
      <c r="K669" s="90"/>
      <c r="L669" s="90"/>
      <c r="M669" s="90"/>
      <c r="N669" s="90"/>
      <c r="O669" s="90"/>
      <c r="P669" s="90"/>
      <c r="Q669" s="90"/>
      <c r="R669" s="90"/>
      <c r="S669" s="90"/>
      <c r="T669" s="90"/>
      <c r="U669" s="90"/>
      <c r="V669" s="90"/>
      <c r="W669" s="90"/>
      <c r="X669" s="90"/>
      <c r="Y669" s="90"/>
      <c r="Z669" s="91"/>
    </row>
    <row r="670" spans="1:26" ht="14.4" x14ac:dyDescent="0.25">
      <c r="A670" s="92"/>
      <c r="B670" s="92"/>
      <c r="C670" s="93"/>
      <c r="D670" s="94"/>
      <c r="E670" s="94"/>
      <c r="F670" s="90"/>
      <c r="G670" s="90"/>
      <c r="H670" s="90"/>
      <c r="I670" s="90"/>
      <c r="J670" s="90"/>
      <c r="K670" s="90"/>
      <c r="L670" s="90"/>
      <c r="M670" s="90"/>
      <c r="N670" s="90"/>
      <c r="O670" s="90"/>
      <c r="P670" s="90"/>
      <c r="Q670" s="90"/>
      <c r="R670" s="90"/>
      <c r="S670" s="90"/>
      <c r="T670" s="90"/>
      <c r="U670" s="90"/>
      <c r="V670" s="90"/>
      <c r="W670" s="90"/>
      <c r="X670" s="90"/>
      <c r="Y670" s="90"/>
      <c r="Z670" s="91"/>
    </row>
    <row r="671" spans="1:26" ht="14.4" x14ac:dyDescent="0.25">
      <c r="A671" s="92"/>
      <c r="B671" s="92"/>
      <c r="C671" s="93"/>
      <c r="D671" s="94"/>
      <c r="E671" s="94"/>
      <c r="F671" s="90"/>
      <c r="G671" s="90"/>
      <c r="H671" s="90"/>
      <c r="I671" s="90"/>
      <c r="J671" s="90"/>
      <c r="K671" s="90"/>
      <c r="L671" s="90"/>
      <c r="M671" s="90"/>
      <c r="N671" s="90"/>
      <c r="O671" s="90"/>
      <c r="P671" s="90"/>
      <c r="Q671" s="90"/>
      <c r="R671" s="90"/>
      <c r="S671" s="90"/>
      <c r="T671" s="90"/>
      <c r="U671" s="90"/>
      <c r="V671" s="90"/>
      <c r="W671" s="90"/>
      <c r="X671" s="90"/>
      <c r="Y671" s="90"/>
      <c r="Z671" s="91"/>
    </row>
    <row r="672" spans="1:26" ht="14.4" x14ac:dyDescent="0.25">
      <c r="A672" s="92"/>
      <c r="B672" s="92"/>
      <c r="C672" s="93"/>
      <c r="D672" s="94"/>
      <c r="E672" s="94"/>
      <c r="F672" s="90"/>
      <c r="G672" s="90"/>
      <c r="H672" s="90"/>
      <c r="I672" s="90"/>
      <c r="J672" s="90"/>
      <c r="K672" s="90"/>
      <c r="L672" s="90"/>
      <c r="M672" s="90"/>
      <c r="N672" s="90"/>
      <c r="O672" s="90"/>
      <c r="P672" s="90"/>
      <c r="Q672" s="90"/>
      <c r="R672" s="90"/>
      <c r="S672" s="90"/>
      <c r="T672" s="90"/>
      <c r="U672" s="90"/>
      <c r="V672" s="90"/>
      <c r="W672" s="90"/>
      <c r="X672" s="90"/>
      <c r="Y672" s="90"/>
      <c r="Z672" s="91"/>
    </row>
    <row r="673" spans="1:26" ht="13.2" x14ac:dyDescent="0.25">
      <c r="A673" s="96"/>
      <c r="B673" s="96"/>
      <c r="C673" s="96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91"/>
      <c r="Z673" s="91"/>
    </row>
    <row r="674" spans="1:26" ht="13.2" x14ac:dyDescent="0.25">
      <c r="A674" s="96"/>
      <c r="B674" s="96"/>
      <c r="C674" s="96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91"/>
      <c r="Z674" s="91"/>
    </row>
    <row r="675" spans="1:26" ht="13.2" x14ac:dyDescent="0.25">
      <c r="A675" s="96"/>
      <c r="B675" s="96"/>
      <c r="C675" s="96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91"/>
      <c r="Z675" s="91"/>
    </row>
    <row r="676" spans="1:26" ht="13.2" x14ac:dyDescent="0.25">
      <c r="A676" s="96"/>
      <c r="B676" s="96"/>
      <c r="C676" s="96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91"/>
      <c r="Z676" s="91"/>
    </row>
    <row r="677" spans="1:26" ht="13.2" x14ac:dyDescent="0.25">
      <c r="A677" s="96"/>
      <c r="B677" s="96"/>
      <c r="C677" s="96"/>
      <c r="D677" s="9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91"/>
      <c r="Z677" s="91"/>
    </row>
    <row r="678" spans="1:26" ht="13.2" x14ac:dyDescent="0.25">
      <c r="A678" s="96"/>
      <c r="B678" s="96"/>
      <c r="C678" s="96"/>
      <c r="D678" s="9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91"/>
      <c r="Z678" s="91"/>
    </row>
    <row r="679" spans="1:26" ht="13.2" x14ac:dyDescent="0.25">
      <c r="A679" s="96"/>
      <c r="B679" s="96"/>
      <c r="C679" s="96"/>
      <c r="D679" s="9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91"/>
      <c r="Z679" s="91"/>
    </row>
    <row r="680" spans="1:26" ht="13.2" x14ac:dyDescent="0.25">
      <c r="A680" s="96"/>
      <c r="B680" s="96"/>
      <c r="C680" s="96"/>
      <c r="D680" s="9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91"/>
      <c r="Z680" s="91"/>
    </row>
    <row r="681" spans="1:26" ht="13.2" x14ac:dyDescent="0.25">
      <c r="A681" s="96"/>
      <c r="B681" s="96"/>
      <c r="C681" s="96"/>
      <c r="D681" s="9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91"/>
      <c r="Z681" s="91"/>
    </row>
    <row r="682" spans="1:26" ht="13.2" x14ac:dyDescent="0.25">
      <c r="A682" s="96"/>
      <c r="B682" s="96"/>
      <c r="C682" s="96"/>
      <c r="D682" s="91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91"/>
      <c r="Z682" s="91"/>
    </row>
    <row r="683" spans="1:26" ht="13.2" x14ac:dyDescent="0.25">
      <c r="A683" s="96"/>
      <c r="B683" s="96"/>
      <c r="C683" s="96"/>
      <c r="D683" s="91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91"/>
      <c r="Z683" s="91"/>
    </row>
    <row r="684" spans="1:26" ht="13.2" x14ac:dyDescent="0.25">
      <c r="A684" s="96"/>
      <c r="B684" s="96"/>
      <c r="C684" s="96"/>
      <c r="D684" s="9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91"/>
      <c r="Z684" s="91"/>
    </row>
    <row r="685" spans="1:26" ht="13.2" x14ac:dyDescent="0.25">
      <c r="A685" s="96"/>
      <c r="B685" s="96"/>
      <c r="C685" s="96"/>
      <c r="D685" s="9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91"/>
      <c r="Z685" s="91"/>
    </row>
    <row r="686" spans="1:26" ht="13.2" x14ac:dyDescent="0.25">
      <c r="A686" s="96"/>
      <c r="B686" s="96"/>
      <c r="C686" s="96"/>
      <c r="D686" s="9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91"/>
      <c r="Z686" s="91"/>
    </row>
    <row r="687" spans="1:26" ht="13.2" x14ac:dyDescent="0.25">
      <c r="A687" s="96"/>
      <c r="B687" s="96"/>
      <c r="C687" s="96"/>
      <c r="D687" s="9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91"/>
      <c r="Z687" s="91"/>
    </row>
    <row r="688" spans="1:26" ht="13.2" x14ac:dyDescent="0.25">
      <c r="A688" s="96"/>
      <c r="B688" s="96"/>
      <c r="C688" s="96"/>
      <c r="D688" s="9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91"/>
      <c r="Z688" s="91"/>
    </row>
    <row r="689" spans="1:26" ht="13.2" x14ac:dyDescent="0.25">
      <c r="A689" s="96"/>
      <c r="B689" s="96"/>
      <c r="C689" s="96"/>
      <c r="D689" s="9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91"/>
      <c r="Z689" s="91"/>
    </row>
    <row r="690" spans="1:26" ht="13.2" x14ac:dyDescent="0.25">
      <c r="A690" s="96"/>
      <c r="B690" s="96"/>
      <c r="C690" s="96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91"/>
      <c r="Z690" s="91"/>
    </row>
    <row r="691" spans="1:26" ht="13.2" x14ac:dyDescent="0.25">
      <c r="A691" s="96"/>
      <c r="B691" s="96"/>
      <c r="C691" s="96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91"/>
      <c r="Z691" s="91"/>
    </row>
    <row r="692" spans="1:26" ht="13.2" x14ac:dyDescent="0.25">
      <c r="A692" s="96"/>
      <c r="B692" s="96"/>
      <c r="C692" s="96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91"/>
      <c r="Z692" s="91"/>
    </row>
    <row r="693" spans="1:26" ht="13.2" x14ac:dyDescent="0.25">
      <c r="A693" s="96"/>
      <c r="B693" s="96"/>
      <c r="C693" s="96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91"/>
      <c r="Z693" s="91"/>
    </row>
    <row r="694" spans="1:26" ht="13.2" x14ac:dyDescent="0.25">
      <c r="A694" s="96"/>
      <c r="B694" s="96"/>
      <c r="C694" s="96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91"/>
      <c r="Z694" s="91"/>
    </row>
    <row r="695" spans="1:26" ht="13.2" x14ac:dyDescent="0.25">
      <c r="A695" s="96"/>
      <c r="B695" s="96"/>
      <c r="C695" s="96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91"/>
      <c r="Z695" s="91"/>
    </row>
    <row r="696" spans="1:26" ht="13.2" x14ac:dyDescent="0.25">
      <c r="A696" s="96"/>
      <c r="B696" s="96"/>
      <c r="C696" s="96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91"/>
      <c r="Z696" s="91"/>
    </row>
    <row r="697" spans="1:26" ht="13.2" x14ac:dyDescent="0.25">
      <c r="A697" s="96"/>
      <c r="B697" s="96"/>
      <c r="C697" s="96"/>
      <c r="D697" s="9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91"/>
      <c r="Z697" s="91"/>
    </row>
    <row r="698" spans="1:26" ht="13.2" x14ac:dyDescent="0.25">
      <c r="A698" s="96"/>
      <c r="B698" s="96"/>
      <c r="C698" s="96"/>
      <c r="D698" s="9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91"/>
      <c r="Z698" s="91"/>
    </row>
    <row r="699" spans="1:26" ht="13.2" x14ac:dyDescent="0.25">
      <c r="A699" s="96"/>
      <c r="B699" s="96"/>
      <c r="C699" s="96"/>
      <c r="D699" s="9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91"/>
      <c r="Z699" s="91"/>
    </row>
    <row r="700" spans="1:26" ht="13.2" x14ac:dyDescent="0.25">
      <c r="A700" s="96"/>
      <c r="B700" s="96"/>
      <c r="C700" s="96"/>
      <c r="D700" s="9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91"/>
      <c r="Z700" s="91"/>
    </row>
    <row r="701" spans="1:26" ht="13.2" x14ac:dyDescent="0.25">
      <c r="A701" s="96"/>
      <c r="B701" s="96"/>
      <c r="C701" s="96"/>
      <c r="D701" s="9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91"/>
      <c r="Z701" s="91"/>
    </row>
    <row r="702" spans="1:26" ht="13.2" x14ac:dyDescent="0.25">
      <c r="A702" s="96"/>
      <c r="B702" s="96"/>
      <c r="C702" s="96"/>
      <c r="D702" s="9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91"/>
      <c r="Z702" s="91"/>
    </row>
    <row r="703" spans="1:26" ht="13.2" x14ac:dyDescent="0.25">
      <c r="A703" s="96"/>
      <c r="B703" s="96"/>
      <c r="C703" s="96"/>
      <c r="D703" s="9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91"/>
      <c r="Z703" s="91"/>
    </row>
    <row r="704" spans="1:26" ht="13.2" x14ac:dyDescent="0.25">
      <c r="A704" s="96"/>
      <c r="B704" s="96"/>
      <c r="C704" s="96"/>
      <c r="D704" s="9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91"/>
      <c r="Z704" s="91"/>
    </row>
    <row r="705" spans="1:26" ht="13.2" x14ac:dyDescent="0.25">
      <c r="A705" s="96"/>
      <c r="B705" s="96"/>
      <c r="C705" s="96"/>
      <c r="D705" s="9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91"/>
      <c r="Z705" s="91"/>
    </row>
    <row r="706" spans="1:26" ht="13.2" x14ac:dyDescent="0.25">
      <c r="A706" s="96"/>
      <c r="B706" s="96"/>
      <c r="C706" s="96"/>
      <c r="D706" s="9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91"/>
      <c r="Z706" s="91"/>
    </row>
    <row r="707" spans="1:26" ht="13.2" x14ac:dyDescent="0.25">
      <c r="A707" s="96"/>
      <c r="B707" s="96"/>
      <c r="C707" s="96"/>
      <c r="D707" s="9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91"/>
      <c r="Z707" s="91"/>
    </row>
    <row r="708" spans="1:26" ht="13.2" x14ac:dyDescent="0.25">
      <c r="A708" s="96"/>
      <c r="B708" s="96"/>
      <c r="C708" s="96"/>
      <c r="D708" s="9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91"/>
      <c r="Z708" s="91"/>
    </row>
    <row r="709" spans="1:26" ht="13.2" x14ac:dyDescent="0.25">
      <c r="A709" s="96"/>
      <c r="B709" s="96"/>
      <c r="C709" s="96"/>
      <c r="D709" s="9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91"/>
      <c r="Z709" s="91"/>
    </row>
    <row r="710" spans="1:26" ht="13.2" x14ac:dyDescent="0.25">
      <c r="A710" s="96"/>
      <c r="B710" s="96"/>
      <c r="C710" s="96"/>
      <c r="D710" s="9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91"/>
      <c r="Z710" s="91"/>
    </row>
    <row r="711" spans="1:26" ht="13.2" x14ac:dyDescent="0.25">
      <c r="A711" s="96"/>
      <c r="B711" s="96"/>
      <c r="C711" s="96"/>
      <c r="D711" s="9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91"/>
      <c r="Z711" s="91"/>
    </row>
    <row r="712" spans="1:26" ht="13.2" x14ac:dyDescent="0.25">
      <c r="A712" s="96"/>
      <c r="B712" s="96"/>
      <c r="C712" s="96"/>
      <c r="D712" s="9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91"/>
      <c r="Z712" s="91"/>
    </row>
    <row r="713" spans="1:26" ht="13.2" x14ac:dyDescent="0.25">
      <c r="A713" s="96"/>
      <c r="B713" s="96"/>
      <c r="C713" s="96"/>
      <c r="D713" s="9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91"/>
      <c r="Z713" s="91"/>
    </row>
    <row r="714" spans="1:26" ht="13.2" x14ac:dyDescent="0.25">
      <c r="A714" s="96"/>
      <c r="B714" s="96"/>
      <c r="C714" s="96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91"/>
      <c r="Z714" s="91"/>
    </row>
    <row r="715" spans="1:26" ht="13.2" x14ac:dyDescent="0.25">
      <c r="A715" s="96"/>
      <c r="B715" s="96"/>
      <c r="C715" s="96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91"/>
      <c r="Z715" s="91"/>
    </row>
    <row r="716" spans="1:26" ht="13.2" x14ac:dyDescent="0.25">
      <c r="A716" s="96"/>
      <c r="B716" s="96"/>
      <c r="C716" s="96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91"/>
      <c r="Z716" s="91"/>
    </row>
    <row r="717" spans="1:26" ht="13.2" x14ac:dyDescent="0.25">
      <c r="A717" s="96"/>
      <c r="B717" s="96"/>
      <c r="C717" s="96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91"/>
      <c r="Z717" s="91"/>
    </row>
    <row r="718" spans="1:26" ht="13.2" x14ac:dyDescent="0.25">
      <c r="A718" s="96"/>
      <c r="B718" s="96"/>
      <c r="C718" s="96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91"/>
      <c r="Z718" s="91"/>
    </row>
    <row r="719" spans="1:26" ht="13.2" x14ac:dyDescent="0.25">
      <c r="A719" s="96"/>
      <c r="B719" s="96"/>
      <c r="C719" s="96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91"/>
      <c r="Z719" s="91"/>
    </row>
    <row r="720" spans="1:26" ht="13.2" x14ac:dyDescent="0.25">
      <c r="A720" s="96"/>
      <c r="B720" s="96"/>
      <c r="C720" s="96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91"/>
      <c r="Z720" s="91"/>
    </row>
    <row r="721" spans="1:26" ht="13.2" x14ac:dyDescent="0.25">
      <c r="A721" s="96"/>
      <c r="B721" s="96"/>
      <c r="C721" s="96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91"/>
      <c r="Z721" s="91"/>
    </row>
    <row r="722" spans="1:26" ht="13.2" x14ac:dyDescent="0.25">
      <c r="A722" s="96"/>
      <c r="B722" s="96"/>
      <c r="C722" s="96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91"/>
      <c r="Z722" s="91"/>
    </row>
    <row r="723" spans="1:26" ht="13.2" x14ac:dyDescent="0.25">
      <c r="A723" s="96"/>
      <c r="B723" s="96"/>
      <c r="C723" s="96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91"/>
      <c r="Z723" s="91"/>
    </row>
    <row r="724" spans="1:26" ht="13.2" x14ac:dyDescent="0.25">
      <c r="A724" s="96"/>
      <c r="B724" s="96"/>
      <c r="C724" s="96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91"/>
      <c r="Z724" s="91"/>
    </row>
    <row r="725" spans="1:26" ht="13.2" x14ac:dyDescent="0.25">
      <c r="A725" s="96"/>
      <c r="B725" s="96"/>
      <c r="C725" s="96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91"/>
      <c r="Z725" s="91"/>
    </row>
    <row r="726" spans="1:26" ht="13.2" x14ac:dyDescent="0.25">
      <c r="A726" s="96"/>
      <c r="B726" s="96"/>
      <c r="C726" s="96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91"/>
      <c r="Z726" s="91"/>
    </row>
    <row r="727" spans="1:26" ht="13.2" x14ac:dyDescent="0.25">
      <c r="A727" s="96"/>
      <c r="B727" s="96"/>
      <c r="C727" s="96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91"/>
      <c r="Z727" s="91"/>
    </row>
    <row r="728" spans="1:26" ht="13.2" x14ac:dyDescent="0.25">
      <c r="A728" s="96"/>
      <c r="B728" s="96"/>
      <c r="C728" s="96"/>
      <c r="D728" s="9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91"/>
      <c r="Z728" s="91"/>
    </row>
    <row r="729" spans="1:26" ht="13.2" x14ac:dyDescent="0.25">
      <c r="A729" s="96"/>
      <c r="B729" s="96"/>
      <c r="C729" s="96"/>
      <c r="D729" s="9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91"/>
      <c r="Z729" s="91"/>
    </row>
    <row r="730" spans="1:26" ht="13.2" x14ac:dyDescent="0.25">
      <c r="A730" s="96"/>
      <c r="B730" s="96"/>
      <c r="C730" s="96"/>
      <c r="D730" s="9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91"/>
      <c r="Z730" s="91"/>
    </row>
    <row r="731" spans="1:26" ht="13.2" x14ac:dyDescent="0.25">
      <c r="A731" s="96"/>
      <c r="B731" s="96"/>
      <c r="C731" s="96"/>
      <c r="D731" s="9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91"/>
      <c r="Z731" s="91"/>
    </row>
    <row r="732" spans="1:26" ht="13.2" x14ac:dyDescent="0.25">
      <c r="A732" s="96"/>
      <c r="B732" s="96"/>
      <c r="C732" s="96"/>
      <c r="D732" s="9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91"/>
      <c r="Z732" s="91"/>
    </row>
    <row r="733" spans="1:26" ht="13.2" x14ac:dyDescent="0.25">
      <c r="A733" s="96"/>
      <c r="B733" s="96"/>
      <c r="C733" s="96"/>
      <c r="D733" s="9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91"/>
      <c r="Z733" s="91"/>
    </row>
    <row r="734" spans="1:26" ht="13.2" x14ac:dyDescent="0.25">
      <c r="A734" s="96"/>
      <c r="B734" s="96"/>
      <c r="C734" s="96"/>
      <c r="D734" s="91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91"/>
      <c r="Z734" s="91"/>
    </row>
    <row r="735" spans="1:26" ht="13.2" x14ac:dyDescent="0.25">
      <c r="A735" s="96"/>
      <c r="B735" s="96"/>
      <c r="C735" s="96"/>
      <c r="D735" s="91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91"/>
      <c r="Z735" s="91"/>
    </row>
    <row r="736" spans="1:26" ht="13.2" x14ac:dyDescent="0.25">
      <c r="A736" s="96"/>
      <c r="B736" s="96"/>
      <c r="C736" s="96"/>
      <c r="D736" s="91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91"/>
      <c r="Z736" s="91"/>
    </row>
    <row r="737" spans="1:26" ht="13.2" x14ac:dyDescent="0.25">
      <c r="A737" s="96"/>
      <c r="B737" s="96"/>
      <c r="C737" s="96"/>
      <c r="D737" s="9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91"/>
      <c r="Z737" s="91"/>
    </row>
    <row r="738" spans="1:26" ht="13.2" x14ac:dyDescent="0.25">
      <c r="A738" s="96"/>
      <c r="B738" s="96"/>
      <c r="C738" s="96"/>
      <c r="D738" s="91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91"/>
      <c r="Z738" s="91"/>
    </row>
    <row r="739" spans="1:26" ht="13.2" x14ac:dyDescent="0.25">
      <c r="A739" s="96"/>
      <c r="B739" s="96"/>
      <c r="C739" s="96"/>
      <c r="D739" s="91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91"/>
      <c r="Z739" s="91"/>
    </row>
    <row r="740" spans="1:26" ht="13.2" x14ac:dyDescent="0.25">
      <c r="A740" s="96"/>
      <c r="B740" s="96"/>
      <c r="C740" s="96"/>
      <c r="D740" s="91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91"/>
      <c r="Z740" s="91"/>
    </row>
    <row r="741" spans="1:26" ht="13.2" x14ac:dyDescent="0.25">
      <c r="A741" s="96"/>
      <c r="B741" s="96"/>
      <c r="C741" s="96"/>
      <c r="D741" s="91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91"/>
      <c r="Z741" s="91"/>
    </row>
    <row r="742" spans="1:26" ht="13.2" x14ac:dyDescent="0.25">
      <c r="A742" s="96"/>
      <c r="B742" s="96"/>
      <c r="C742" s="96"/>
      <c r="D742" s="91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91"/>
      <c r="Z742" s="91"/>
    </row>
    <row r="743" spans="1:26" ht="13.2" x14ac:dyDescent="0.25">
      <c r="A743" s="96"/>
      <c r="B743" s="96"/>
      <c r="C743" s="96"/>
      <c r="D743" s="91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91"/>
      <c r="Z743" s="91"/>
    </row>
    <row r="744" spans="1:26" ht="13.2" x14ac:dyDescent="0.25">
      <c r="A744" s="96"/>
      <c r="B744" s="96"/>
      <c r="C744" s="96"/>
      <c r="D744" s="91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91"/>
      <c r="Z744" s="91"/>
    </row>
    <row r="745" spans="1:26" ht="13.2" x14ac:dyDescent="0.25">
      <c r="A745" s="96"/>
      <c r="B745" s="96"/>
      <c r="C745" s="96"/>
      <c r="D745" s="91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91"/>
      <c r="Z745" s="91"/>
    </row>
    <row r="746" spans="1:26" ht="13.2" x14ac:dyDescent="0.25">
      <c r="A746" s="96"/>
      <c r="B746" s="96"/>
      <c r="C746" s="96"/>
      <c r="D746" s="91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91"/>
      <c r="Z746" s="91"/>
    </row>
    <row r="747" spans="1:26" ht="13.2" x14ac:dyDescent="0.25">
      <c r="A747" s="96"/>
      <c r="B747" s="96"/>
      <c r="C747" s="96"/>
      <c r="D747" s="91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91"/>
      <c r="Z747" s="91"/>
    </row>
    <row r="748" spans="1:26" ht="13.2" x14ac:dyDescent="0.25">
      <c r="A748" s="96"/>
      <c r="B748" s="96"/>
      <c r="C748" s="96"/>
      <c r="D748" s="91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91"/>
      <c r="Z748" s="91"/>
    </row>
    <row r="749" spans="1:26" ht="13.2" x14ac:dyDescent="0.25">
      <c r="A749" s="96"/>
      <c r="B749" s="96"/>
      <c r="C749" s="96"/>
      <c r="D749" s="91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91"/>
      <c r="Z749" s="91"/>
    </row>
    <row r="750" spans="1:26" ht="13.2" x14ac:dyDescent="0.25">
      <c r="A750" s="96"/>
      <c r="B750" s="96"/>
      <c r="C750" s="96"/>
      <c r="D750" s="91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91"/>
      <c r="Z750" s="91"/>
    </row>
    <row r="751" spans="1:26" ht="13.2" x14ac:dyDescent="0.25">
      <c r="A751" s="96"/>
      <c r="B751" s="96"/>
      <c r="C751" s="96"/>
      <c r="D751" s="91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91"/>
      <c r="Z751" s="91"/>
    </row>
    <row r="752" spans="1:26" ht="13.2" x14ac:dyDescent="0.25">
      <c r="A752" s="96"/>
      <c r="B752" s="96"/>
      <c r="C752" s="96"/>
      <c r="D752" s="91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91"/>
      <c r="Z752" s="91"/>
    </row>
    <row r="753" spans="1:26" ht="13.2" x14ac:dyDescent="0.25">
      <c r="A753" s="96"/>
      <c r="B753" s="96"/>
      <c r="C753" s="96"/>
      <c r="D753" s="91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91"/>
      <c r="Z753" s="91"/>
    </row>
    <row r="754" spans="1:26" ht="13.2" x14ac:dyDescent="0.25">
      <c r="A754" s="96"/>
      <c r="B754" s="96"/>
      <c r="C754" s="96"/>
      <c r="D754" s="91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91"/>
      <c r="Z754" s="91"/>
    </row>
    <row r="755" spans="1:26" ht="13.2" x14ac:dyDescent="0.25">
      <c r="A755" s="96"/>
      <c r="B755" s="96"/>
      <c r="C755" s="96"/>
      <c r="D755" s="91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91"/>
      <c r="Z755" s="91"/>
    </row>
    <row r="756" spans="1:26" ht="13.2" x14ac:dyDescent="0.25">
      <c r="A756" s="96"/>
      <c r="B756" s="96"/>
      <c r="C756" s="96"/>
      <c r="D756" s="91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91"/>
      <c r="Z756" s="91"/>
    </row>
    <row r="757" spans="1:26" ht="13.2" x14ac:dyDescent="0.25">
      <c r="A757" s="96"/>
      <c r="B757" s="96"/>
      <c r="C757" s="96"/>
      <c r="D757" s="91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91"/>
      <c r="Z757" s="91"/>
    </row>
    <row r="758" spans="1:26" ht="13.2" x14ac:dyDescent="0.25">
      <c r="A758" s="96"/>
      <c r="B758" s="96"/>
      <c r="C758" s="96"/>
      <c r="D758" s="91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1"/>
      <c r="Z758" s="91"/>
    </row>
    <row r="759" spans="1:26" ht="13.2" x14ac:dyDescent="0.25">
      <c r="A759" s="96"/>
      <c r="B759" s="96"/>
      <c r="C759" s="96"/>
      <c r="D759" s="91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91"/>
      <c r="Z759" s="91"/>
    </row>
    <row r="760" spans="1:26" ht="13.2" x14ac:dyDescent="0.25">
      <c r="A760" s="96"/>
      <c r="B760" s="96"/>
      <c r="C760" s="96"/>
      <c r="D760" s="91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91"/>
      <c r="Z760" s="91"/>
    </row>
    <row r="761" spans="1:26" ht="13.2" x14ac:dyDescent="0.25">
      <c r="A761" s="96"/>
      <c r="B761" s="96"/>
      <c r="C761" s="96"/>
      <c r="D761" s="91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91"/>
      <c r="Z761" s="91"/>
    </row>
    <row r="762" spans="1:26" ht="13.2" x14ac:dyDescent="0.25">
      <c r="A762" s="96"/>
      <c r="B762" s="96"/>
      <c r="C762" s="96"/>
      <c r="D762" s="91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91"/>
      <c r="Z762" s="91"/>
    </row>
    <row r="763" spans="1:26" ht="13.2" x14ac:dyDescent="0.25">
      <c r="A763" s="96"/>
      <c r="B763" s="96"/>
      <c r="C763" s="96"/>
      <c r="D763" s="91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91"/>
      <c r="Z763" s="91"/>
    </row>
    <row r="764" spans="1:26" ht="13.2" x14ac:dyDescent="0.25">
      <c r="A764" s="96"/>
      <c r="B764" s="96"/>
      <c r="C764" s="96"/>
      <c r="D764" s="91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91"/>
      <c r="Z764" s="91"/>
    </row>
    <row r="765" spans="1:26" ht="13.2" x14ac:dyDescent="0.25">
      <c r="A765" s="96"/>
      <c r="B765" s="96"/>
      <c r="C765" s="96"/>
      <c r="D765" s="91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91"/>
      <c r="Z765" s="91"/>
    </row>
    <row r="766" spans="1:26" ht="13.2" x14ac:dyDescent="0.25">
      <c r="A766" s="96"/>
      <c r="B766" s="96"/>
      <c r="C766" s="96"/>
      <c r="D766" s="9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91"/>
      <c r="Z766" s="91"/>
    </row>
    <row r="767" spans="1:26" ht="13.2" x14ac:dyDescent="0.25">
      <c r="A767" s="96"/>
      <c r="B767" s="96"/>
      <c r="C767" s="96"/>
      <c r="D767" s="91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91"/>
      <c r="Z767" s="91"/>
    </row>
    <row r="768" spans="1:26" ht="13.2" x14ac:dyDescent="0.25">
      <c r="A768" s="96"/>
      <c r="B768" s="96"/>
      <c r="C768" s="96"/>
      <c r="D768" s="91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91"/>
      <c r="Z768" s="91"/>
    </row>
    <row r="769" spans="1:26" ht="13.2" x14ac:dyDescent="0.25">
      <c r="A769" s="96"/>
      <c r="B769" s="96"/>
      <c r="C769" s="96"/>
      <c r="D769" s="91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91"/>
      <c r="Z769" s="91"/>
    </row>
    <row r="770" spans="1:26" ht="13.2" x14ac:dyDescent="0.25">
      <c r="A770" s="96"/>
      <c r="B770" s="96"/>
      <c r="C770" s="96"/>
      <c r="D770" s="91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91"/>
      <c r="Z770" s="91"/>
    </row>
    <row r="771" spans="1:26" ht="13.2" x14ac:dyDescent="0.25">
      <c r="A771" s="96"/>
      <c r="B771" s="96"/>
      <c r="C771" s="96"/>
      <c r="D771" s="91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91"/>
      <c r="Z771" s="91"/>
    </row>
    <row r="772" spans="1:26" ht="13.2" x14ac:dyDescent="0.25">
      <c r="A772" s="96"/>
      <c r="B772" s="96"/>
      <c r="C772" s="96"/>
      <c r="D772" s="91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91"/>
      <c r="Z772" s="91"/>
    </row>
    <row r="773" spans="1:26" ht="13.2" x14ac:dyDescent="0.25">
      <c r="A773" s="96"/>
      <c r="B773" s="96"/>
      <c r="C773" s="96"/>
      <c r="D773" s="91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91"/>
      <c r="Z773" s="91"/>
    </row>
    <row r="774" spans="1:26" ht="13.2" x14ac:dyDescent="0.25">
      <c r="A774" s="96"/>
      <c r="B774" s="96"/>
      <c r="C774" s="96"/>
      <c r="D774" s="91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91"/>
      <c r="Z774" s="91"/>
    </row>
    <row r="775" spans="1:26" ht="13.2" x14ac:dyDescent="0.25">
      <c r="A775" s="96"/>
      <c r="B775" s="96"/>
      <c r="C775" s="96"/>
      <c r="D775" s="91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91"/>
      <c r="Z775" s="91"/>
    </row>
    <row r="776" spans="1:26" ht="13.2" x14ac:dyDescent="0.25">
      <c r="A776" s="96"/>
      <c r="B776" s="96"/>
      <c r="C776" s="96"/>
      <c r="D776" s="91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91"/>
      <c r="Z776" s="91"/>
    </row>
    <row r="777" spans="1:26" ht="13.2" x14ac:dyDescent="0.25">
      <c r="A777" s="96"/>
      <c r="B777" s="96"/>
      <c r="C777" s="96"/>
      <c r="D777" s="91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91"/>
      <c r="Z777" s="91"/>
    </row>
    <row r="778" spans="1:26" ht="13.2" x14ac:dyDescent="0.25">
      <c r="A778" s="96"/>
      <c r="B778" s="96"/>
      <c r="C778" s="96"/>
      <c r="D778" s="91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91"/>
      <c r="Z778" s="91"/>
    </row>
    <row r="779" spans="1:26" ht="13.2" x14ac:dyDescent="0.25">
      <c r="A779" s="96"/>
      <c r="B779" s="96"/>
      <c r="C779" s="96"/>
      <c r="D779" s="91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91"/>
      <c r="Z779" s="91"/>
    </row>
    <row r="780" spans="1:26" ht="13.2" x14ac:dyDescent="0.25">
      <c r="A780" s="96"/>
      <c r="B780" s="96"/>
      <c r="C780" s="96"/>
      <c r="D780" s="91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91"/>
      <c r="Z780" s="91"/>
    </row>
    <row r="781" spans="1:26" ht="13.2" x14ac:dyDescent="0.25">
      <c r="A781" s="96"/>
      <c r="B781" s="96"/>
      <c r="C781" s="96"/>
      <c r="D781" s="91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91"/>
      <c r="Z781" s="91"/>
    </row>
    <row r="782" spans="1:26" ht="13.2" x14ac:dyDescent="0.25">
      <c r="A782" s="96"/>
      <c r="B782" s="96"/>
      <c r="C782" s="96"/>
      <c r="D782" s="91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91"/>
      <c r="Z782" s="91"/>
    </row>
    <row r="783" spans="1:26" ht="13.2" x14ac:dyDescent="0.25">
      <c r="A783" s="96"/>
      <c r="B783" s="96"/>
      <c r="C783" s="96"/>
      <c r="D783" s="91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91"/>
      <c r="Z783" s="91"/>
    </row>
    <row r="784" spans="1:26" ht="13.2" x14ac:dyDescent="0.25">
      <c r="A784" s="96"/>
      <c r="B784" s="96"/>
      <c r="C784" s="96"/>
      <c r="D784" s="91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91"/>
      <c r="Z784" s="91"/>
    </row>
    <row r="785" spans="1:26" ht="13.2" x14ac:dyDescent="0.25">
      <c r="A785" s="96"/>
      <c r="B785" s="96"/>
      <c r="C785" s="96"/>
      <c r="D785" s="91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91"/>
      <c r="Z785" s="91"/>
    </row>
    <row r="786" spans="1:26" ht="13.2" x14ac:dyDescent="0.25">
      <c r="A786" s="96"/>
      <c r="B786" s="96"/>
      <c r="C786" s="96"/>
      <c r="D786" s="91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91"/>
      <c r="Z786" s="91"/>
    </row>
    <row r="787" spans="1:26" ht="13.2" x14ac:dyDescent="0.25">
      <c r="A787" s="96"/>
      <c r="B787" s="96"/>
      <c r="C787" s="96"/>
      <c r="D787" s="91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91"/>
      <c r="Z787" s="91"/>
    </row>
    <row r="788" spans="1:26" ht="13.2" x14ac:dyDescent="0.25">
      <c r="A788" s="96"/>
      <c r="B788" s="96"/>
      <c r="C788" s="96"/>
      <c r="D788" s="91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91"/>
      <c r="Z788" s="91"/>
    </row>
    <row r="789" spans="1:26" ht="13.2" x14ac:dyDescent="0.25">
      <c r="A789" s="96"/>
      <c r="B789" s="96"/>
      <c r="C789" s="96"/>
      <c r="D789" s="91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91"/>
      <c r="Z789" s="91"/>
    </row>
    <row r="790" spans="1:26" ht="13.2" x14ac:dyDescent="0.25">
      <c r="A790" s="96"/>
      <c r="B790" s="96"/>
      <c r="C790" s="96"/>
      <c r="D790" s="91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91"/>
      <c r="Z790" s="91"/>
    </row>
    <row r="791" spans="1:26" ht="13.2" x14ac:dyDescent="0.25">
      <c r="A791" s="96"/>
      <c r="B791" s="96"/>
      <c r="C791" s="96"/>
      <c r="D791" s="91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91"/>
      <c r="Z791" s="91"/>
    </row>
    <row r="792" spans="1:26" ht="13.2" x14ac:dyDescent="0.25">
      <c r="A792" s="96"/>
      <c r="B792" s="96"/>
      <c r="C792" s="96"/>
      <c r="D792" s="91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91"/>
      <c r="Z792" s="91"/>
    </row>
    <row r="793" spans="1:26" ht="13.2" x14ac:dyDescent="0.25">
      <c r="A793" s="96"/>
      <c r="B793" s="96"/>
      <c r="C793" s="96"/>
      <c r="D793" s="91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91"/>
      <c r="Z793" s="91"/>
    </row>
    <row r="794" spans="1:26" ht="13.2" x14ac:dyDescent="0.25">
      <c r="A794" s="96"/>
      <c r="B794" s="96"/>
      <c r="C794" s="96"/>
      <c r="D794" s="91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91"/>
      <c r="Z794" s="91"/>
    </row>
    <row r="795" spans="1:26" ht="13.2" x14ac:dyDescent="0.25">
      <c r="A795" s="96"/>
      <c r="B795" s="96"/>
      <c r="C795" s="96"/>
      <c r="D795" s="91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91"/>
      <c r="Z795" s="91"/>
    </row>
    <row r="796" spans="1:26" ht="13.2" x14ac:dyDescent="0.25">
      <c r="A796" s="96"/>
      <c r="B796" s="96"/>
      <c r="C796" s="96"/>
      <c r="D796" s="91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91"/>
      <c r="Z796" s="91"/>
    </row>
    <row r="797" spans="1:26" ht="13.2" x14ac:dyDescent="0.25">
      <c r="A797" s="96"/>
      <c r="B797" s="96"/>
      <c r="C797" s="96"/>
      <c r="D797" s="91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91"/>
      <c r="Z797" s="91"/>
    </row>
    <row r="798" spans="1:26" ht="13.2" x14ac:dyDescent="0.25">
      <c r="A798" s="96"/>
      <c r="B798" s="96"/>
      <c r="C798" s="96"/>
      <c r="D798" s="91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91"/>
      <c r="Z798" s="91"/>
    </row>
    <row r="799" spans="1:26" ht="13.2" x14ac:dyDescent="0.25">
      <c r="A799" s="96"/>
      <c r="B799" s="96"/>
      <c r="C799" s="96"/>
      <c r="D799" s="91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91"/>
      <c r="Z799" s="91"/>
    </row>
    <row r="800" spans="1:26" ht="13.2" x14ac:dyDescent="0.25">
      <c r="A800" s="96"/>
      <c r="B800" s="96"/>
      <c r="C800" s="96"/>
      <c r="D800" s="91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91"/>
      <c r="Z800" s="91"/>
    </row>
    <row r="801" spans="1:26" ht="13.2" x14ac:dyDescent="0.25">
      <c r="A801" s="96"/>
      <c r="B801" s="96"/>
      <c r="C801" s="96"/>
      <c r="D801" s="91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91"/>
      <c r="Z801" s="91"/>
    </row>
    <row r="802" spans="1:26" ht="13.2" x14ac:dyDescent="0.25">
      <c r="A802" s="96"/>
      <c r="B802" s="96"/>
      <c r="C802" s="96"/>
      <c r="D802" s="91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91"/>
      <c r="Z802" s="91"/>
    </row>
    <row r="803" spans="1:26" ht="13.2" x14ac:dyDescent="0.25">
      <c r="A803" s="96"/>
      <c r="B803" s="96"/>
      <c r="C803" s="96"/>
      <c r="D803" s="91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91"/>
      <c r="Z803" s="91"/>
    </row>
    <row r="804" spans="1:26" ht="13.2" x14ac:dyDescent="0.25">
      <c r="A804" s="96"/>
      <c r="B804" s="96"/>
      <c r="C804" s="96"/>
      <c r="D804" s="91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91"/>
      <c r="Z804" s="91"/>
    </row>
    <row r="805" spans="1:26" ht="13.2" x14ac:dyDescent="0.25">
      <c r="A805" s="96"/>
      <c r="B805" s="96"/>
      <c r="C805" s="96"/>
      <c r="D805" s="91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91"/>
      <c r="Z805" s="91"/>
    </row>
    <row r="806" spans="1:26" ht="13.2" x14ac:dyDescent="0.25">
      <c r="A806" s="96"/>
      <c r="B806" s="96"/>
      <c r="C806" s="96"/>
      <c r="D806" s="91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91"/>
      <c r="Z806" s="91"/>
    </row>
    <row r="807" spans="1:26" ht="13.2" x14ac:dyDescent="0.25">
      <c r="A807" s="96"/>
      <c r="B807" s="96"/>
      <c r="C807" s="96"/>
      <c r="D807" s="91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91"/>
      <c r="Z807" s="91"/>
    </row>
    <row r="808" spans="1:26" ht="13.2" x14ac:dyDescent="0.25">
      <c r="A808" s="96"/>
      <c r="B808" s="96"/>
      <c r="C808" s="96"/>
      <c r="D808" s="91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91"/>
      <c r="Z808" s="91"/>
    </row>
    <row r="809" spans="1:26" ht="13.2" x14ac:dyDescent="0.25">
      <c r="A809" s="96"/>
      <c r="B809" s="96"/>
      <c r="C809" s="96"/>
      <c r="D809" s="91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91"/>
      <c r="Z809" s="91"/>
    </row>
    <row r="810" spans="1:26" ht="13.2" x14ac:dyDescent="0.25">
      <c r="A810" s="96"/>
      <c r="B810" s="96"/>
      <c r="C810" s="96"/>
      <c r="D810" s="91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91"/>
      <c r="Z810" s="91"/>
    </row>
    <row r="811" spans="1:26" ht="13.2" x14ac:dyDescent="0.25">
      <c r="A811" s="96"/>
      <c r="B811" s="96"/>
      <c r="C811" s="96"/>
      <c r="D811" s="91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91"/>
      <c r="Z811" s="91"/>
    </row>
    <row r="812" spans="1:26" ht="13.2" x14ac:dyDescent="0.25">
      <c r="A812" s="96"/>
      <c r="B812" s="96"/>
      <c r="C812" s="96"/>
      <c r="D812" s="91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91"/>
      <c r="Z812" s="91"/>
    </row>
    <row r="813" spans="1:26" ht="13.2" x14ac:dyDescent="0.25">
      <c r="A813" s="96"/>
      <c r="B813" s="96"/>
      <c r="C813" s="96"/>
      <c r="D813" s="91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91"/>
      <c r="Z813" s="91"/>
    </row>
    <row r="814" spans="1:26" ht="13.2" x14ac:dyDescent="0.25">
      <c r="A814" s="96"/>
      <c r="B814" s="96"/>
      <c r="C814" s="96"/>
      <c r="D814" s="91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91"/>
      <c r="Z814" s="91"/>
    </row>
    <row r="815" spans="1:26" ht="13.2" x14ac:dyDescent="0.25">
      <c r="A815" s="96"/>
      <c r="B815" s="96"/>
      <c r="C815" s="96"/>
      <c r="D815" s="91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91"/>
      <c r="Z815" s="91"/>
    </row>
    <row r="816" spans="1:26" ht="13.2" x14ac:dyDescent="0.25">
      <c r="A816" s="96"/>
      <c r="B816" s="96"/>
      <c r="C816" s="96"/>
      <c r="D816" s="91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91"/>
      <c r="Z816" s="91"/>
    </row>
    <row r="817" spans="1:26" ht="13.2" x14ac:dyDescent="0.25">
      <c r="A817" s="96"/>
      <c r="B817" s="96"/>
      <c r="C817" s="96"/>
      <c r="D817" s="91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91"/>
      <c r="Z817" s="91"/>
    </row>
    <row r="818" spans="1:26" ht="13.2" x14ac:dyDescent="0.25">
      <c r="A818" s="96"/>
      <c r="B818" s="96"/>
      <c r="C818" s="96"/>
      <c r="D818" s="91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91"/>
      <c r="Z818" s="91"/>
    </row>
    <row r="819" spans="1:26" ht="13.2" x14ac:dyDescent="0.25">
      <c r="A819" s="96"/>
      <c r="B819" s="96"/>
      <c r="C819" s="96"/>
      <c r="D819" s="91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91"/>
      <c r="Z819" s="91"/>
    </row>
    <row r="820" spans="1:26" ht="13.2" x14ac:dyDescent="0.25">
      <c r="A820" s="96"/>
      <c r="B820" s="96"/>
      <c r="C820" s="96"/>
      <c r="D820" s="91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91"/>
      <c r="Z820" s="91"/>
    </row>
    <row r="821" spans="1:26" ht="13.2" x14ac:dyDescent="0.25">
      <c r="A821" s="96"/>
      <c r="B821" s="96"/>
      <c r="C821" s="96"/>
      <c r="D821" s="91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91"/>
      <c r="Z821" s="91"/>
    </row>
    <row r="822" spans="1:26" ht="13.2" x14ac:dyDescent="0.25">
      <c r="A822" s="96"/>
      <c r="B822" s="96"/>
      <c r="C822" s="96"/>
      <c r="D822" s="91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91"/>
      <c r="Z822" s="91"/>
    </row>
    <row r="823" spans="1:26" ht="13.2" x14ac:dyDescent="0.25">
      <c r="A823" s="96"/>
      <c r="B823" s="96"/>
      <c r="C823" s="96"/>
      <c r="D823" s="91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91"/>
      <c r="Z823" s="91"/>
    </row>
    <row r="824" spans="1:26" ht="13.2" x14ac:dyDescent="0.25">
      <c r="A824" s="96"/>
      <c r="B824" s="96"/>
      <c r="C824" s="96"/>
      <c r="D824" s="91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91"/>
      <c r="Z824" s="91"/>
    </row>
    <row r="825" spans="1:26" ht="13.2" x14ac:dyDescent="0.25">
      <c r="A825" s="96"/>
      <c r="B825" s="96"/>
      <c r="C825" s="96"/>
      <c r="D825" s="91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91"/>
      <c r="Z825" s="91"/>
    </row>
    <row r="826" spans="1:26" ht="13.2" x14ac:dyDescent="0.25">
      <c r="A826" s="96"/>
      <c r="B826" s="96"/>
      <c r="C826" s="96"/>
      <c r="D826" s="91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91"/>
      <c r="Z826" s="91"/>
    </row>
    <row r="827" spans="1:26" ht="13.2" x14ac:dyDescent="0.25">
      <c r="A827" s="96"/>
      <c r="B827" s="96"/>
      <c r="C827" s="96"/>
      <c r="D827" s="91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91"/>
      <c r="Z827" s="91"/>
    </row>
    <row r="828" spans="1:26" ht="13.2" x14ac:dyDescent="0.25">
      <c r="A828" s="96"/>
      <c r="B828" s="96"/>
      <c r="C828" s="96"/>
      <c r="D828" s="91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91"/>
      <c r="Z828" s="91"/>
    </row>
    <row r="829" spans="1:26" ht="13.2" x14ac:dyDescent="0.25">
      <c r="A829" s="96"/>
      <c r="B829" s="96"/>
      <c r="C829" s="96"/>
      <c r="D829" s="91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91"/>
      <c r="Z829" s="91"/>
    </row>
    <row r="830" spans="1:26" ht="13.2" x14ac:dyDescent="0.25">
      <c r="A830" s="96"/>
      <c r="B830" s="96"/>
      <c r="C830" s="96"/>
      <c r="D830" s="91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91"/>
      <c r="Z830" s="91"/>
    </row>
    <row r="831" spans="1:26" ht="13.2" x14ac:dyDescent="0.25">
      <c r="A831" s="96"/>
      <c r="B831" s="96"/>
      <c r="C831" s="96"/>
      <c r="D831" s="91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91"/>
      <c r="Z831" s="91"/>
    </row>
    <row r="832" spans="1:26" ht="13.2" x14ac:dyDescent="0.25">
      <c r="A832" s="96"/>
      <c r="B832" s="96"/>
      <c r="C832" s="96"/>
      <c r="D832" s="91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91"/>
      <c r="Z832" s="91"/>
    </row>
    <row r="833" spans="1:26" ht="13.2" x14ac:dyDescent="0.25">
      <c r="A833" s="96"/>
      <c r="B833" s="96"/>
      <c r="C833" s="96"/>
      <c r="D833" s="91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91"/>
      <c r="Z833" s="91"/>
    </row>
    <row r="834" spans="1:26" ht="13.2" x14ac:dyDescent="0.25">
      <c r="A834" s="96"/>
      <c r="B834" s="96"/>
      <c r="C834" s="96"/>
      <c r="D834" s="91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91"/>
      <c r="Z834" s="91"/>
    </row>
    <row r="835" spans="1:26" ht="13.2" x14ac:dyDescent="0.25">
      <c r="A835" s="96"/>
      <c r="B835" s="96"/>
      <c r="C835" s="96"/>
      <c r="D835" s="91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91"/>
      <c r="Z835" s="91"/>
    </row>
    <row r="836" spans="1:26" ht="13.2" x14ac:dyDescent="0.25">
      <c r="A836" s="96"/>
      <c r="B836" s="96"/>
      <c r="C836" s="96"/>
      <c r="D836" s="91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91"/>
      <c r="Z836" s="91"/>
    </row>
    <row r="837" spans="1:26" ht="13.2" x14ac:dyDescent="0.25">
      <c r="A837" s="96"/>
      <c r="B837" s="96"/>
      <c r="C837" s="96"/>
      <c r="D837" s="91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91"/>
      <c r="Z837" s="91"/>
    </row>
    <row r="838" spans="1:26" ht="13.2" x14ac:dyDescent="0.25">
      <c r="A838" s="96"/>
      <c r="B838" s="96"/>
      <c r="C838" s="96"/>
      <c r="D838" s="91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91"/>
      <c r="Z838" s="91"/>
    </row>
    <row r="839" spans="1:26" ht="13.2" x14ac:dyDescent="0.25">
      <c r="A839" s="96"/>
      <c r="B839" s="96"/>
      <c r="C839" s="96"/>
      <c r="D839" s="91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91"/>
      <c r="Z839" s="91"/>
    </row>
    <row r="840" spans="1:26" ht="13.2" x14ac:dyDescent="0.25">
      <c r="A840" s="96"/>
      <c r="B840" s="96"/>
      <c r="C840" s="96"/>
      <c r="D840" s="91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91"/>
      <c r="Z840" s="91"/>
    </row>
    <row r="841" spans="1:26" ht="13.2" x14ac:dyDescent="0.25">
      <c r="A841" s="96"/>
      <c r="B841" s="96"/>
      <c r="C841" s="96"/>
      <c r="D841" s="91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91"/>
      <c r="Z841" s="91"/>
    </row>
    <row r="842" spans="1:26" ht="13.2" x14ac:dyDescent="0.25">
      <c r="A842" s="96"/>
      <c r="B842" s="96"/>
      <c r="C842" s="96"/>
      <c r="D842" s="91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91"/>
      <c r="Z842" s="91"/>
    </row>
    <row r="843" spans="1:26" ht="13.2" x14ac:dyDescent="0.25">
      <c r="A843" s="96"/>
      <c r="B843" s="96"/>
      <c r="C843" s="96"/>
      <c r="D843" s="91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91"/>
      <c r="Z843" s="91"/>
    </row>
    <row r="844" spans="1:26" ht="13.2" x14ac:dyDescent="0.25">
      <c r="A844" s="96"/>
      <c r="B844" s="96"/>
      <c r="C844" s="96"/>
      <c r="D844" s="91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91"/>
      <c r="Z844" s="91"/>
    </row>
    <row r="845" spans="1:26" ht="13.2" x14ac:dyDescent="0.25">
      <c r="A845" s="96"/>
      <c r="B845" s="96"/>
      <c r="C845" s="96"/>
      <c r="D845" s="91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91"/>
      <c r="Z845" s="91"/>
    </row>
    <row r="846" spans="1:26" ht="13.2" x14ac:dyDescent="0.25">
      <c r="A846" s="96"/>
      <c r="B846" s="96"/>
      <c r="C846" s="96"/>
      <c r="D846" s="91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91"/>
      <c r="Z846" s="91"/>
    </row>
    <row r="847" spans="1:26" ht="13.2" x14ac:dyDescent="0.25">
      <c r="A847" s="96"/>
      <c r="B847" s="96"/>
      <c r="C847" s="96"/>
      <c r="D847" s="91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91"/>
      <c r="Z847" s="91"/>
    </row>
    <row r="848" spans="1:26" ht="13.2" x14ac:dyDescent="0.25">
      <c r="A848" s="96"/>
      <c r="B848" s="96"/>
      <c r="C848" s="96"/>
      <c r="D848" s="91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91"/>
      <c r="Z848" s="91"/>
    </row>
    <row r="849" spans="1:26" ht="13.2" x14ac:dyDescent="0.25">
      <c r="A849" s="96"/>
      <c r="B849" s="96"/>
      <c r="C849" s="96"/>
      <c r="D849" s="91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91"/>
      <c r="Z849" s="91"/>
    </row>
    <row r="850" spans="1:26" ht="13.2" x14ac:dyDescent="0.25">
      <c r="A850" s="96"/>
      <c r="B850" s="96"/>
      <c r="C850" s="96"/>
      <c r="D850" s="91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91"/>
      <c r="Z850" s="91"/>
    </row>
    <row r="851" spans="1:26" ht="13.2" x14ac:dyDescent="0.25">
      <c r="A851" s="96"/>
      <c r="B851" s="96"/>
      <c r="C851" s="96"/>
      <c r="D851" s="91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91"/>
      <c r="Z851" s="91"/>
    </row>
    <row r="852" spans="1:26" ht="13.2" x14ac:dyDescent="0.25">
      <c r="A852" s="96"/>
      <c r="B852" s="96"/>
      <c r="C852" s="96"/>
      <c r="D852" s="91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91"/>
      <c r="Z852" s="91"/>
    </row>
    <row r="853" spans="1:26" ht="13.2" x14ac:dyDescent="0.25">
      <c r="A853" s="96"/>
      <c r="B853" s="96"/>
      <c r="C853" s="96"/>
      <c r="D853" s="91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91"/>
      <c r="Z853" s="91"/>
    </row>
    <row r="854" spans="1:26" ht="13.2" x14ac:dyDescent="0.25">
      <c r="A854" s="96"/>
      <c r="B854" s="96"/>
      <c r="C854" s="96"/>
      <c r="D854" s="91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91"/>
      <c r="Z854" s="91"/>
    </row>
    <row r="855" spans="1:26" ht="13.2" x14ac:dyDescent="0.25">
      <c r="A855" s="96"/>
      <c r="B855" s="96"/>
      <c r="C855" s="96"/>
      <c r="D855" s="91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91"/>
      <c r="Z855" s="91"/>
    </row>
    <row r="856" spans="1:26" ht="13.2" x14ac:dyDescent="0.25">
      <c r="A856" s="96"/>
      <c r="B856" s="96"/>
      <c r="C856" s="96"/>
      <c r="D856" s="91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91"/>
      <c r="Z856" s="91"/>
    </row>
    <row r="857" spans="1:26" ht="13.2" x14ac:dyDescent="0.25">
      <c r="A857" s="96"/>
      <c r="B857" s="96"/>
      <c r="C857" s="96"/>
      <c r="D857" s="91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91"/>
      <c r="Z857" s="91"/>
    </row>
    <row r="858" spans="1:26" ht="13.2" x14ac:dyDescent="0.25">
      <c r="A858" s="96"/>
      <c r="B858" s="96"/>
      <c r="C858" s="96"/>
      <c r="D858" s="91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91"/>
      <c r="Z858" s="91"/>
    </row>
    <row r="859" spans="1:26" ht="13.2" x14ac:dyDescent="0.25">
      <c r="A859" s="96"/>
      <c r="B859" s="96"/>
      <c r="C859" s="96"/>
      <c r="D859" s="91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91"/>
      <c r="Z859" s="91"/>
    </row>
    <row r="860" spans="1:26" ht="13.2" x14ac:dyDescent="0.25">
      <c r="A860" s="96"/>
      <c r="B860" s="96"/>
      <c r="C860" s="96"/>
      <c r="D860" s="91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91"/>
      <c r="Z860" s="91"/>
    </row>
    <row r="861" spans="1:26" ht="13.2" x14ac:dyDescent="0.25">
      <c r="A861" s="96"/>
      <c r="B861" s="96"/>
      <c r="C861" s="96"/>
      <c r="D861" s="91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91"/>
      <c r="Z861" s="91"/>
    </row>
    <row r="862" spans="1:26" ht="13.2" x14ac:dyDescent="0.25">
      <c r="A862" s="96"/>
      <c r="B862" s="96"/>
      <c r="C862" s="96"/>
      <c r="D862" s="91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91"/>
      <c r="Z862" s="91"/>
    </row>
    <row r="863" spans="1:26" ht="13.2" x14ac:dyDescent="0.25">
      <c r="A863" s="96"/>
      <c r="B863" s="96"/>
      <c r="C863" s="96"/>
      <c r="D863" s="91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91"/>
      <c r="Z863" s="91"/>
    </row>
    <row r="864" spans="1:26" ht="13.2" x14ac:dyDescent="0.25">
      <c r="A864" s="96"/>
      <c r="B864" s="96"/>
      <c r="C864" s="96"/>
      <c r="D864" s="91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91"/>
      <c r="Z864" s="91"/>
    </row>
    <row r="865" spans="1:26" ht="13.2" x14ac:dyDescent="0.25">
      <c r="A865" s="96"/>
      <c r="B865" s="96"/>
      <c r="C865" s="96"/>
      <c r="D865" s="91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91"/>
      <c r="Z865" s="91"/>
    </row>
    <row r="866" spans="1:26" ht="13.2" x14ac:dyDescent="0.25">
      <c r="A866" s="96"/>
      <c r="B866" s="96"/>
      <c r="C866" s="96"/>
      <c r="D866" s="91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91"/>
      <c r="Z866" s="91"/>
    </row>
    <row r="867" spans="1:26" ht="13.2" x14ac:dyDescent="0.25">
      <c r="A867" s="96"/>
      <c r="B867" s="96"/>
      <c r="C867" s="96"/>
      <c r="D867" s="91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91"/>
      <c r="Z867" s="91"/>
    </row>
    <row r="868" spans="1:26" ht="13.2" x14ac:dyDescent="0.25">
      <c r="A868" s="96"/>
      <c r="B868" s="96"/>
      <c r="C868" s="96"/>
      <c r="D868" s="91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91"/>
      <c r="Z868" s="91"/>
    </row>
    <row r="869" spans="1:26" ht="13.2" x14ac:dyDescent="0.25">
      <c r="A869" s="96"/>
      <c r="B869" s="96"/>
      <c r="C869" s="96"/>
      <c r="D869" s="91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91"/>
      <c r="Z869" s="91"/>
    </row>
    <row r="870" spans="1:26" ht="13.2" x14ac:dyDescent="0.25">
      <c r="A870" s="96"/>
      <c r="B870" s="96"/>
      <c r="C870" s="96"/>
      <c r="D870" s="91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91"/>
      <c r="Z870" s="91"/>
    </row>
    <row r="871" spans="1:26" ht="13.2" x14ac:dyDescent="0.25">
      <c r="A871" s="96"/>
      <c r="B871" s="96"/>
      <c r="C871" s="96"/>
      <c r="D871" s="91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91"/>
      <c r="Z871" s="91"/>
    </row>
    <row r="872" spans="1:26" ht="13.2" x14ac:dyDescent="0.25">
      <c r="A872" s="96"/>
      <c r="B872" s="96"/>
      <c r="C872" s="96"/>
      <c r="D872" s="91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91"/>
      <c r="Z872" s="91"/>
    </row>
    <row r="873" spans="1:26" ht="13.2" x14ac:dyDescent="0.25">
      <c r="A873" s="96"/>
      <c r="B873" s="96"/>
      <c r="C873" s="96"/>
      <c r="D873" s="91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91"/>
      <c r="Z873" s="91"/>
    </row>
    <row r="874" spans="1:26" ht="13.2" x14ac:dyDescent="0.25">
      <c r="A874" s="96"/>
      <c r="B874" s="96"/>
      <c r="C874" s="96"/>
      <c r="D874" s="91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91"/>
      <c r="Z874" s="91"/>
    </row>
    <row r="875" spans="1:26" ht="13.2" x14ac:dyDescent="0.25">
      <c r="A875" s="96"/>
      <c r="B875" s="96"/>
      <c r="C875" s="96"/>
      <c r="D875" s="91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91"/>
      <c r="Z875" s="91"/>
    </row>
    <row r="876" spans="1:26" ht="13.2" x14ac:dyDescent="0.25">
      <c r="A876" s="96"/>
      <c r="B876" s="96"/>
      <c r="C876" s="96"/>
      <c r="D876" s="91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91"/>
      <c r="Z876" s="91"/>
    </row>
    <row r="877" spans="1:26" ht="13.2" x14ac:dyDescent="0.25">
      <c r="A877" s="96"/>
      <c r="B877" s="96"/>
      <c r="C877" s="96"/>
      <c r="D877" s="91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91"/>
      <c r="Z877" s="91"/>
    </row>
    <row r="878" spans="1:26" ht="13.2" x14ac:dyDescent="0.25">
      <c r="A878" s="96"/>
      <c r="B878" s="96"/>
      <c r="C878" s="96"/>
      <c r="D878" s="91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91"/>
      <c r="Z878" s="91"/>
    </row>
    <row r="879" spans="1:26" ht="13.2" x14ac:dyDescent="0.25">
      <c r="A879" s="96"/>
      <c r="B879" s="96"/>
      <c r="C879" s="96"/>
      <c r="D879" s="91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91"/>
      <c r="Z879" s="91"/>
    </row>
    <row r="880" spans="1:26" ht="13.2" x14ac:dyDescent="0.25">
      <c r="A880" s="96"/>
      <c r="B880" s="96"/>
      <c r="C880" s="96"/>
      <c r="D880" s="91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91"/>
      <c r="Z880" s="91"/>
    </row>
    <row r="881" spans="1:26" ht="13.2" x14ac:dyDescent="0.25">
      <c r="A881" s="96"/>
      <c r="B881" s="96"/>
      <c r="C881" s="96"/>
      <c r="D881" s="91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91"/>
      <c r="Z881" s="91"/>
    </row>
    <row r="882" spans="1:26" ht="13.2" x14ac:dyDescent="0.25">
      <c r="A882" s="96"/>
      <c r="B882" s="96"/>
      <c r="C882" s="96"/>
      <c r="D882" s="91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91"/>
      <c r="Z882" s="91"/>
    </row>
    <row r="883" spans="1:26" ht="13.2" x14ac:dyDescent="0.25">
      <c r="A883" s="96"/>
      <c r="B883" s="96"/>
      <c r="C883" s="96"/>
      <c r="D883" s="91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91"/>
      <c r="Z883" s="91"/>
    </row>
    <row r="884" spans="1:26" ht="13.2" x14ac:dyDescent="0.25">
      <c r="A884" s="96"/>
      <c r="B884" s="96"/>
      <c r="C884" s="96"/>
      <c r="D884" s="91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91"/>
      <c r="Z884" s="91"/>
    </row>
    <row r="885" spans="1:26" ht="13.2" x14ac:dyDescent="0.25">
      <c r="A885" s="96"/>
      <c r="B885" s="96"/>
      <c r="C885" s="96"/>
      <c r="D885" s="91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91"/>
      <c r="Z885" s="91"/>
    </row>
    <row r="886" spans="1:26" ht="13.2" x14ac:dyDescent="0.25">
      <c r="A886" s="96"/>
      <c r="B886" s="96"/>
      <c r="C886" s="96"/>
      <c r="D886" s="91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91"/>
      <c r="Z886" s="91"/>
    </row>
    <row r="887" spans="1:26" ht="13.2" x14ac:dyDescent="0.25">
      <c r="A887" s="96"/>
      <c r="B887" s="96"/>
      <c r="C887" s="96"/>
      <c r="D887" s="91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91"/>
      <c r="Z887" s="91"/>
    </row>
    <row r="888" spans="1:26" ht="13.2" x14ac:dyDescent="0.25">
      <c r="A888" s="96"/>
      <c r="B888" s="96"/>
      <c r="C888" s="96"/>
      <c r="D888" s="91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91"/>
      <c r="Z888" s="91"/>
    </row>
    <row r="889" spans="1:26" ht="13.2" x14ac:dyDescent="0.25">
      <c r="A889" s="96"/>
      <c r="B889" s="96"/>
      <c r="C889" s="96"/>
      <c r="D889" s="91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91"/>
      <c r="Z889" s="91"/>
    </row>
    <row r="890" spans="1:26" ht="13.2" x14ac:dyDescent="0.25">
      <c r="A890" s="96"/>
      <c r="B890" s="96"/>
      <c r="C890" s="96"/>
      <c r="D890" s="91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91"/>
      <c r="Z890" s="91"/>
    </row>
    <row r="891" spans="1:26" ht="13.2" x14ac:dyDescent="0.25">
      <c r="A891" s="96"/>
      <c r="B891" s="96"/>
      <c r="C891" s="96"/>
      <c r="D891" s="91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91"/>
      <c r="Z891" s="91"/>
    </row>
    <row r="892" spans="1:26" ht="13.2" x14ac:dyDescent="0.25">
      <c r="A892" s="96"/>
      <c r="B892" s="96"/>
      <c r="C892" s="96"/>
      <c r="D892" s="91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91"/>
      <c r="Z892" s="91"/>
    </row>
    <row r="893" spans="1:26" ht="13.2" x14ac:dyDescent="0.25">
      <c r="A893" s="96"/>
      <c r="B893" s="96"/>
      <c r="C893" s="96"/>
      <c r="D893" s="9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91"/>
      <c r="Z893" s="91"/>
    </row>
    <row r="894" spans="1:26" ht="13.2" x14ac:dyDescent="0.25">
      <c r="A894" s="96"/>
      <c r="B894" s="96"/>
      <c r="C894" s="96"/>
      <c r="D894" s="91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91"/>
      <c r="Z894" s="91"/>
    </row>
    <row r="895" spans="1:26" ht="13.2" x14ac:dyDescent="0.25">
      <c r="A895" s="96"/>
      <c r="B895" s="96"/>
      <c r="C895" s="96"/>
      <c r="D895" s="91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91"/>
      <c r="Z895" s="91"/>
    </row>
    <row r="896" spans="1:26" ht="13.2" x14ac:dyDescent="0.25">
      <c r="A896" s="96"/>
      <c r="B896" s="96"/>
      <c r="C896" s="96"/>
      <c r="D896" s="91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91"/>
      <c r="Z896" s="91"/>
    </row>
    <row r="897" spans="1:26" ht="13.2" x14ac:dyDescent="0.25">
      <c r="A897" s="96"/>
      <c r="B897" s="96"/>
      <c r="C897" s="96"/>
      <c r="D897" s="91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91"/>
      <c r="Z897" s="91"/>
    </row>
    <row r="898" spans="1:26" ht="13.2" x14ac:dyDescent="0.25">
      <c r="A898" s="96"/>
      <c r="B898" s="96"/>
      <c r="C898" s="96"/>
      <c r="D898" s="91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91"/>
      <c r="Z898" s="91"/>
    </row>
    <row r="899" spans="1:26" ht="13.2" x14ac:dyDescent="0.25">
      <c r="A899" s="96"/>
      <c r="B899" s="96"/>
      <c r="C899" s="96"/>
      <c r="D899" s="91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91"/>
      <c r="Z899" s="91"/>
    </row>
    <row r="900" spans="1:26" ht="13.2" x14ac:dyDescent="0.25">
      <c r="A900" s="96"/>
      <c r="B900" s="96"/>
      <c r="C900" s="96"/>
      <c r="D900" s="91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91"/>
      <c r="Z900" s="91"/>
    </row>
    <row r="901" spans="1:26" ht="13.2" x14ac:dyDescent="0.25">
      <c r="A901" s="96"/>
      <c r="B901" s="96"/>
      <c r="C901" s="96"/>
      <c r="D901" s="91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91"/>
      <c r="Z901" s="91"/>
    </row>
    <row r="902" spans="1:26" ht="13.2" x14ac:dyDescent="0.25">
      <c r="A902" s="96"/>
      <c r="B902" s="96"/>
      <c r="C902" s="96"/>
      <c r="D902" s="91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91"/>
      <c r="Z902" s="91"/>
    </row>
    <row r="903" spans="1:26" ht="13.2" x14ac:dyDescent="0.25">
      <c r="A903" s="96"/>
      <c r="B903" s="96"/>
      <c r="C903" s="96"/>
      <c r="D903" s="91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91"/>
      <c r="Z903" s="91"/>
    </row>
    <row r="904" spans="1:26" ht="13.2" x14ac:dyDescent="0.25">
      <c r="A904" s="96"/>
      <c r="B904" s="96"/>
      <c r="C904" s="96"/>
      <c r="D904" s="91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91"/>
      <c r="Z904" s="91"/>
    </row>
    <row r="905" spans="1:26" ht="13.2" x14ac:dyDescent="0.25">
      <c r="A905" s="96"/>
      <c r="B905" s="96"/>
      <c r="C905" s="96"/>
      <c r="D905" s="91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91"/>
      <c r="Z905" s="91"/>
    </row>
    <row r="906" spans="1:26" ht="13.2" x14ac:dyDescent="0.25">
      <c r="A906" s="96"/>
      <c r="B906" s="96"/>
      <c r="C906" s="96"/>
      <c r="D906" s="91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91"/>
      <c r="Z906" s="91"/>
    </row>
    <row r="907" spans="1:26" ht="13.2" x14ac:dyDescent="0.25">
      <c r="A907" s="96"/>
      <c r="B907" s="96"/>
      <c r="C907" s="96"/>
      <c r="D907" s="91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91"/>
      <c r="Z907" s="91"/>
    </row>
    <row r="908" spans="1:26" ht="13.2" x14ac:dyDescent="0.25">
      <c r="A908" s="96"/>
      <c r="B908" s="96"/>
      <c r="C908" s="96"/>
      <c r="D908" s="91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91"/>
      <c r="Z908" s="91"/>
    </row>
    <row r="909" spans="1:26" ht="13.2" x14ac:dyDescent="0.25">
      <c r="A909" s="96"/>
      <c r="B909" s="96"/>
      <c r="C909" s="96"/>
      <c r="D909" s="91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91"/>
      <c r="Z909" s="91"/>
    </row>
    <row r="910" spans="1:26" ht="13.2" x14ac:dyDescent="0.25">
      <c r="A910" s="96"/>
      <c r="B910" s="96"/>
      <c r="C910" s="96"/>
      <c r="D910" s="91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91"/>
      <c r="Z910" s="91"/>
    </row>
    <row r="911" spans="1:26" ht="13.2" x14ac:dyDescent="0.25">
      <c r="A911" s="96"/>
      <c r="B911" s="96"/>
      <c r="C911" s="96"/>
      <c r="D911" s="91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91"/>
      <c r="Z911" s="91"/>
    </row>
    <row r="912" spans="1:26" ht="13.2" x14ac:dyDescent="0.25">
      <c r="A912" s="96"/>
      <c r="B912" s="96"/>
      <c r="C912" s="96"/>
      <c r="D912" s="91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91"/>
      <c r="Z912" s="91"/>
    </row>
    <row r="913" spans="1:26" ht="13.2" x14ac:dyDescent="0.25">
      <c r="A913" s="96"/>
      <c r="B913" s="96"/>
      <c r="C913" s="96"/>
      <c r="D913" s="91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91"/>
      <c r="Z913" s="91"/>
    </row>
    <row r="914" spans="1:26" ht="13.2" x14ac:dyDescent="0.25">
      <c r="A914" s="96"/>
      <c r="B914" s="96"/>
      <c r="C914" s="96"/>
      <c r="D914" s="91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91"/>
      <c r="Z914" s="91"/>
    </row>
    <row r="915" spans="1:26" ht="13.2" x14ac:dyDescent="0.25">
      <c r="A915" s="96"/>
      <c r="B915" s="96"/>
      <c r="C915" s="96"/>
      <c r="D915" s="91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91"/>
      <c r="Z915" s="91"/>
    </row>
    <row r="916" spans="1:26" ht="13.2" x14ac:dyDescent="0.25">
      <c r="A916" s="96"/>
      <c r="B916" s="96"/>
      <c r="C916" s="96"/>
      <c r="D916" s="91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91"/>
      <c r="Z916" s="91"/>
    </row>
    <row r="917" spans="1:26" ht="13.2" x14ac:dyDescent="0.25">
      <c r="A917" s="96"/>
      <c r="B917" s="96"/>
      <c r="C917" s="96"/>
      <c r="D917" s="91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91"/>
      <c r="Z917" s="91"/>
    </row>
    <row r="918" spans="1:26" ht="13.2" x14ac:dyDescent="0.25">
      <c r="A918" s="96"/>
      <c r="B918" s="96"/>
      <c r="C918" s="96"/>
      <c r="D918" s="91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91"/>
      <c r="Z918" s="91"/>
    </row>
    <row r="919" spans="1:26" ht="13.2" x14ac:dyDescent="0.25">
      <c r="A919" s="96"/>
      <c r="B919" s="96"/>
      <c r="C919" s="96"/>
      <c r="D919" s="91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91"/>
      <c r="Z919" s="91"/>
    </row>
    <row r="920" spans="1:26" ht="13.2" x14ac:dyDescent="0.25">
      <c r="A920" s="96"/>
      <c r="B920" s="96"/>
      <c r="C920" s="96"/>
      <c r="D920" s="91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91"/>
      <c r="Z920" s="91"/>
    </row>
    <row r="921" spans="1:26" ht="13.2" x14ac:dyDescent="0.25">
      <c r="A921" s="96"/>
      <c r="B921" s="96"/>
      <c r="C921" s="96"/>
      <c r="D921" s="91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91"/>
      <c r="Z921" s="91"/>
    </row>
    <row r="922" spans="1:26" ht="13.2" x14ac:dyDescent="0.25">
      <c r="A922" s="96"/>
      <c r="B922" s="96"/>
      <c r="C922" s="96"/>
      <c r="D922" s="91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91"/>
      <c r="Z922" s="91"/>
    </row>
    <row r="923" spans="1:26" ht="13.2" x14ac:dyDescent="0.25">
      <c r="A923" s="96"/>
      <c r="B923" s="96"/>
      <c r="C923" s="96"/>
      <c r="D923" s="91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91"/>
      <c r="Z923" s="91"/>
    </row>
    <row r="924" spans="1:26" ht="13.2" x14ac:dyDescent="0.25">
      <c r="A924" s="96"/>
      <c r="B924" s="96"/>
      <c r="C924" s="96"/>
      <c r="D924" s="91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91"/>
      <c r="Z924" s="91"/>
    </row>
    <row r="925" spans="1:26" ht="13.2" x14ac:dyDescent="0.25">
      <c r="A925" s="96"/>
      <c r="B925" s="96"/>
      <c r="C925" s="96"/>
      <c r="D925" s="91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91"/>
      <c r="Z925" s="91"/>
    </row>
    <row r="926" spans="1:26" ht="13.2" x14ac:dyDescent="0.25">
      <c r="A926" s="96"/>
      <c r="B926" s="96"/>
      <c r="C926" s="96"/>
      <c r="D926" s="91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91"/>
      <c r="Z926" s="91"/>
    </row>
    <row r="927" spans="1:26" ht="13.2" x14ac:dyDescent="0.25">
      <c r="A927" s="96"/>
      <c r="B927" s="96"/>
      <c r="C927" s="96"/>
      <c r="D927" s="91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91"/>
      <c r="Z927" s="91"/>
    </row>
    <row r="928" spans="1:26" ht="13.2" x14ac:dyDescent="0.25">
      <c r="A928" s="96"/>
      <c r="B928" s="96"/>
      <c r="C928" s="96"/>
      <c r="D928" s="91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91"/>
      <c r="Z928" s="91"/>
    </row>
    <row r="929" spans="1:26" ht="13.2" x14ac:dyDescent="0.25">
      <c r="A929" s="96"/>
      <c r="B929" s="96"/>
      <c r="C929" s="96"/>
      <c r="D929" s="91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91"/>
      <c r="Z929" s="91"/>
    </row>
    <row r="930" spans="1:26" ht="13.2" x14ac:dyDescent="0.25">
      <c r="A930" s="96"/>
      <c r="B930" s="96"/>
      <c r="C930" s="96"/>
      <c r="D930" s="91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91"/>
      <c r="Z930" s="91"/>
    </row>
    <row r="931" spans="1:26" ht="13.2" x14ac:dyDescent="0.25">
      <c r="A931" s="96"/>
      <c r="B931" s="96"/>
      <c r="C931" s="96"/>
      <c r="D931" s="91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91"/>
      <c r="Z931" s="91"/>
    </row>
    <row r="932" spans="1:26" ht="13.2" x14ac:dyDescent="0.25">
      <c r="A932" s="96"/>
      <c r="B932" s="96"/>
      <c r="C932" s="96"/>
      <c r="D932" s="9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91"/>
      <c r="Z932" s="91"/>
    </row>
    <row r="933" spans="1:26" ht="13.2" x14ac:dyDescent="0.25">
      <c r="A933" s="96"/>
      <c r="B933" s="96"/>
      <c r="C933" s="96"/>
      <c r="D933" s="91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91"/>
      <c r="Z933" s="91"/>
    </row>
    <row r="934" spans="1:26" ht="13.2" x14ac:dyDescent="0.25">
      <c r="A934" s="96"/>
      <c r="B934" s="96"/>
      <c r="C934" s="96"/>
      <c r="D934" s="91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91"/>
      <c r="Z934" s="91"/>
    </row>
    <row r="935" spans="1:26" ht="13.2" x14ac:dyDescent="0.25">
      <c r="A935" s="96"/>
      <c r="B935" s="96"/>
      <c r="C935" s="96"/>
      <c r="D935" s="91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91"/>
      <c r="Z935" s="91"/>
    </row>
    <row r="936" spans="1:26" ht="13.2" x14ac:dyDescent="0.25">
      <c r="A936" s="96"/>
      <c r="B936" s="96"/>
      <c r="C936" s="96"/>
      <c r="D936" s="91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91"/>
      <c r="Z936" s="91"/>
    </row>
    <row r="937" spans="1:26" ht="13.2" x14ac:dyDescent="0.25">
      <c r="A937" s="96"/>
      <c r="B937" s="96"/>
      <c r="C937" s="96"/>
      <c r="D937" s="91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91"/>
      <c r="Z937" s="91"/>
    </row>
    <row r="938" spans="1:26" ht="13.2" x14ac:dyDescent="0.25">
      <c r="A938" s="96"/>
      <c r="B938" s="96"/>
      <c r="C938" s="96"/>
      <c r="D938" s="91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91"/>
      <c r="Z938" s="91"/>
    </row>
    <row r="939" spans="1:26" ht="13.2" x14ac:dyDescent="0.25">
      <c r="A939" s="96"/>
      <c r="B939" s="96"/>
      <c r="C939" s="96"/>
      <c r="D939" s="91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91"/>
      <c r="Z939" s="91"/>
    </row>
    <row r="940" spans="1:26" ht="13.2" x14ac:dyDescent="0.25">
      <c r="A940" s="96"/>
      <c r="B940" s="96"/>
      <c r="C940" s="96"/>
      <c r="D940" s="91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91"/>
      <c r="Z940" s="91"/>
    </row>
    <row r="941" spans="1:26" ht="13.2" x14ac:dyDescent="0.25">
      <c r="A941" s="96"/>
      <c r="B941" s="96"/>
      <c r="C941" s="96"/>
      <c r="D941" s="91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91"/>
      <c r="Z941" s="91"/>
    </row>
    <row r="942" spans="1:26" ht="13.2" x14ac:dyDescent="0.25">
      <c r="A942" s="96"/>
      <c r="B942" s="96"/>
      <c r="C942" s="96"/>
      <c r="D942" s="91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91"/>
      <c r="Z942" s="91"/>
    </row>
    <row r="943" spans="1:26" ht="13.2" x14ac:dyDescent="0.25">
      <c r="A943" s="96"/>
      <c r="B943" s="96"/>
      <c r="C943" s="96"/>
      <c r="D943" s="91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91"/>
      <c r="Z943" s="91"/>
    </row>
    <row r="944" spans="1:26" ht="13.2" x14ac:dyDescent="0.25">
      <c r="A944" s="96"/>
      <c r="B944" s="96"/>
      <c r="C944" s="96"/>
      <c r="D944" s="91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91"/>
      <c r="Z944" s="91"/>
    </row>
    <row r="945" spans="1:26" ht="13.2" x14ac:dyDescent="0.25">
      <c r="A945" s="96"/>
      <c r="B945" s="96"/>
      <c r="C945" s="96"/>
      <c r="D945" s="91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91"/>
      <c r="Z945" s="91"/>
    </row>
    <row r="946" spans="1:26" ht="13.2" x14ac:dyDescent="0.25">
      <c r="A946" s="96"/>
      <c r="B946" s="96"/>
      <c r="C946" s="96"/>
      <c r="D946" s="91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91"/>
      <c r="Z946" s="91"/>
    </row>
    <row r="947" spans="1:26" ht="13.2" x14ac:dyDescent="0.25">
      <c r="A947" s="96"/>
      <c r="B947" s="96"/>
      <c r="C947" s="96"/>
      <c r="D947" s="91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91"/>
      <c r="Z947" s="91"/>
    </row>
    <row r="948" spans="1:26" ht="13.2" x14ac:dyDescent="0.25">
      <c r="A948" s="96"/>
      <c r="B948" s="96"/>
      <c r="C948" s="96"/>
      <c r="D948" s="91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91"/>
      <c r="Z948" s="91"/>
    </row>
    <row r="949" spans="1:26" ht="13.2" x14ac:dyDescent="0.25">
      <c r="A949" s="96"/>
      <c r="B949" s="96"/>
      <c r="C949" s="96"/>
      <c r="D949" s="91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91"/>
      <c r="Z949" s="91"/>
    </row>
    <row r="950" spans="1:26" ht="13.2" x14ac:dyDescent="0.25">
      <c r="A950" s="96"/>
      <c r="B950" s="96"/>
      <c r="C950" s="96"/>
      <c r="D950" s="91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91"/>
      <c r="Z950" s="91"/>
    </row>
    <row r="951" spans="1:26" ht="13.2" x14ac:dyDescent="0.25">
      <c r="A951" s="96"/>
      <c r="B951" s="96"/>
      <c r="C951" s="96"/>
      <c r="D951" s="91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91"/>
      <c r="Z951" s="91"/>
    </row>
    <row r="952" spans="1:26" ht="13.2" x14ac:dyDescent="0.25">
      <c r="A952" s="96"/>
      <c r="B952" s="96"/>
      <c r="C952" s="96"/>
      <c r="D952" s="91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91"/>
      <c r="Z952" s="91"/>
    </row>
    <row r="953" spans="1:26" ht="13.2" x14ac:dyDescent="0.25">
      <c r="A953" s="96"/>
      <c r="B953" s="96"/>
      <c r="C953" s="96"/>
      <c r="D953" s="91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91"/>
      <c r="Z953" s="91"/>
    </row>
    <row r="954" spans="1:26" ht="13.2" x14ac:dyDescent="0.25">
      <c r="A954" s="96"/>
      <c r="B954" s="96"/>
      <c r="C954" s="96"/>
      <c r="D954" s="91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91"/>
      <c r="Z954" s="91"/>
    </row>
    <row r="955" spans="1:26" ht="13.2" x14ac:dyDescent="0.25">
      <c r="A955" s="96"/>
      <c r="B955" s="96"/>
      <c r="C955" s="96"/>
      <c r="D955" s="91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91"/>
      <c r="Z955" s="91"/>
    </row>
    <row r="956" spans="1:26" ht="13.2" x14ac:dyDescent="0.25">
      <c r="A956" s="96"/>
      <c r="B956" s="96"/>
      <c r="C956" s="96"/>
      <c r="D956" s="91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91"/>
      <c r="Z956" s="91"/>
    </row>
    <row r="957" spans="1:26" ht="13.2" x14ac:dyDescent="0.25">
      <c r="A957" s="96"/>
      <c r="B957" s="96"/>
      <c r="C957" s="96"/>
      <c r="D957" s="91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91"/>
      <c r="Z957" s="91"/>
    </row>
    <row r="958" spans="1:26" ht="13.2" x14ac:dyDescent="0.25">
      <c r="A958" s="96"/>
      <c r="B958" s="96"/>
      <c r="C958" s="96"/>
      <c r="D958" s="91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91"/>
      <c r="Z958" s="91"/>
    </row>
    <row r="959" spans="1:26" ht="13.2" x14ac:dyDescent="0.25">
      <c r="A959" s="96"/>
      <c r="B959" s="96"/>
      <c r="C959" s="96"/>
      <c r="D959" s="91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91"/>
      <c r="Z959" s="91"/>
    </row>
    <row r="960" spans="1:26" ht="13.2" x14ac:dyDescent="0.25">
      <c r="A960" s="96"/>
      <c r="B960" s="96"/>
      <c r="C960" s="96"/>
      <c r="D960" s="91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91"/>
      <c r="Z960" s="91"/>
    </row>
    <row r="961" spans="1:26" ht="13.2" x14ac:dyDescent="0.25">
      <c r="A961" s="96"/>
      <c r="B961" s="96"/>
      <c r="C961" s="96"/>
      <c r="D961" s="91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91"/>
      <c r="Z961" s="91"/>
    </row>
    <row r="962" spans="1:26" ht="13.2" x14ac:dyDescent="0.25">
      <c r="A962" s="96"/>
      <c r="B962" s="96"/>
      <c r="C962" s="96"/>
      <c r="D962" s="91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91"/>
      <c r="Z962" s="91"/>
    </row>
    <row r="963" spans="1:26" ht="13.2" x14ac:dyDescent="0.25">
      <c r="A963" s="96"/>
      <c r="B963" s="96"/>
      <c r="C963" s="96"/>
      <c r="D963" s="91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91"/>
      <c r="Z963" s="91"/>
    </row>
    <row r="964" spans="1:26" ht="13.2" x14ac:dyDescent="0.25">
      <c r="A964" s="96"/>
      <c r="B964" s="96"/>
      <c r="C964" s="96"/>
      <c r="D964" s="91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91"/>
      <c r="Z964" s="91"/>
    </row>
    <row r="965" spans="1:26" ht="13.2" x14ac:dyDescent="0.25">
      <c r="A965" s="96"/>
      <c r="B965" s="96"/>
      <c r="C965" s="96"/>
      <c r="D965" s="91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91"/>
      <c r="Z965" s="91"/>
    </row>
    <row r="966" spans="1:26" ht="13.2" x14ac:dyDescent="0.25">
      <c r="A966" s="96"/>
      <c r="B966" s="96"/>
      <c r="C966" s="96"/>
      <c r="D966" s="91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91"/>
      <c r="Z966" s="91"/>
    </row>
    <row r="967" spans="1:26" ht="13.2" x14ac:dyDescent="0.25">
      <c r="A967" s="96"/>
      <c r="B967" s="96"/>
      <c r="C967" s="96"/>
      <c r="D967" s="91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91"/>
      <c r="Z967" s="91"/>
    </row>
    <row r="968" spans="1:26" ht="13.2" x14ac:dyDescent="0.25">
      <c r="A968" s="96"/>
      <c r="B968" s="96"/>
      <c r="C968" s="96"/>
      <c r="D968" s="91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91"/>
      <c r="Z968" s="91"/>
    </row>
    <row r="969" spans="1:26" ht="13.2" x14ac:dyDescent="0.25">
      <c r="A969" s="96"/>
      <c r="B969" s="96"/>
      <c r="C969" s="96"/>
      <c r="D969" s="91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91"/>
      <c r="Z969" s="91"/>
    </row>
    <row r="970" spans="1:26" ht="13.2" x14ac:dyDescent="0.25">
      <c r="A970" s="96"/>
      <c r="B970" s="96"/>
      <c r="C970" s="96"/>
      <c r="D970" s="91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91"/>
      <c r="Z970" s="91"/>
    </row>
    <row r="971" spans="1:26" ht="13.2" x14ac:dyDescent="0.25">
      <c r="A971" s="96"/>
      <c r="B971" s="96"/>
      <c r="C971" s="96"/>
      <c r="D971" s="91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91"/>
      <c r="Z971" s="91"/>
    </row>
    <row r="972" spans="1:26" ht="13.2" x14ac:dyDescent="0.25">
      <c r="A972" s="96"/>
      <c r="B972" s="96"/>
      <c r="C972" s="96"/>
      <c r="D972" s="91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91"/>
      <c r="Z972" s="91"/>
    </row>
    <row r="973" spans="1:26" ht="13.2" x14ac:dyDescent="0.25">
      <c r="A973" s="96"/>
      <c r="B973" s="96"/>
      <c r="C973" s="96"/>
      <c r="D973" s="91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91"/>
      <c r="Z973" s="91"/>
    </row>
    <row r="974" spans="1:26" ht="13.2" x14ac:dyDescent="0.25">
      <c r="A974" s="96"/>
      <c r="B974" s="96"/>
      <c r="C974" s="96"/>
      <c r="D974" s="91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91"/>
      <c r="Z974" s="91"/>
    </row>
    <row r="975" spans="1:26" ht="13.2" x14ac:dyDescent="0.25">
      <c r="A975" s="96"/>
      <c r="B975" s="96"/>
      <c r="C975" s="96"/>
      <c r="D975" s="91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91"/>
      <c r="Z975" s="91"/>
    </row>
    <row r="976" spans="1:26" ht="13.2" x14ac:dyDescent="0.25">
      <c r="A976" s="96"/>
      <c r="B976" s="96"/>
      <c r="C976" s="96"/>
      <c r="D976" s="91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91"/>
      <c r="Z976" s="91"/>
    </row>
    <row r="977" spans="1:26" ht="13.2" x14ac:dyDescent="0.25">
      <c r="A977" s="96"/>
      <c r="B977" s="96"/>
      <c r="C977" s="96"/>
      <c r="D977" s="91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91"/>
      <c r="Z977" s="91"/>
    </row>
    <row r="978" spans="1:26" ht="13.2" x14ac:dyDescent="0.25">
      <c r="A978" s="96"/>
      <c r="B978" s="96"/>
      <c r="C978" s="96"/>
      <c r="D978" s="91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91"/>
      <c r="Z978" s="91"/>
    </row>
    <row r="979" spans="1:26" ht="13.2" x14ac:dyDescent="0.25">
      <c r="A979" s="96"/>
      <c r="B979" s="96"/>
      <c r="C979" s="96"/>
      <c r="D979" s="91"/>
      <c r="E979" s="91"/>
      <c r="F979" s="91"/>
      <c r="G979" s="91"/>
      <c r="H979" s="91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91"/>
      <c r="Z979" s="91"/>
    </row>
    <row r="980" spans="1:26" ht="13.2" x14ac:dyDescent="0.25">
      <c r="A980" s="96"/>
      <c r="B980" s="96"/>
      <c r="C980" s="96"/>
      <c r="D980" s="91"/>
      <c r="E980" s="91"/>
      <c r="F980" s="91"/>
      <c r="G980" s="91"/>
      <c r="H980" s="91"/>
      <c r="I980" s="91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  <c r="V980" s="91"/>
      <c r="W980" s="91"/>
      <c r="X980" s="91"/>
      <c r="Y980" s="91"/>
      <c r="Z980" s="91"/>
    </row>
    <row r="981" spans="1:26" ht="13.2" x14ac:dyDescent="0.25">
      <c r="A981" s="96"/>
      <c r="B981" s="96"/>
      <c r="C981" s="96"/>
      <c r="D981" s="91"/>
      <c r="E981" s="91"/>
      <c r="F981" s="91"/>
      <c r="G981" s="91"/>
      <c r="H981" s="91"/>
      <c r="I981" s="91"/>
      <c r="J981" s="91"/>
      <c r="K981" s="91"/>
      <c r="L981" s="91"/>
      <c r="M981" s="91"/>
      <c r="N981" s="91"/>
      <c r="O981" s="91"/>
      <c r="P981" s="91"/>
      <c r="Q981" s="91"/>
      <c r="R981" s="91"/>
      <c r="S981" s="91"/>
      <c r="T981" s="91"/>
      <c r="U981" s="91"/>
      <c r="V981" s="91"/>
      <c r="W981" s="91"/>
      <c r="X981" s="91"/>
      <c r="Y981" s="91"/>
      <c r="Z981" s="91"/>
    </row>
    <row r="982" spans="1:26" ht="13.2" x14ac:dyDescent="0.25">
      <c r="A982" s="96"/>
      <c r="B982" s="96"/>
      <c r="C982" s="96"/>
      <c r="D982" s="91"/>
      <c r="E982" s="91"/>
      <c r="F982" s="91"/>
      <c r="G982" s="91"/>
      <c r="H982" s="91"/>
      <c r="I982" s="91"/>
      <c r="J982" s="91"/>
      <c r="K982" s="91"/>
      <c r="L982" s="91"/>
      <c r="M982" s="91"/>
      <c r="N982" s="91"/>
      <c r="O982" s="91"/>
      <c r="P982" s="91"/>
      <c r="Q982" s="91"/>
      <c r="R982" s="91"/>
      <c r="S982" s="91"/>
      <c r="T982" s="91"/>
      <c r="U982" s="91"/>
      <c r="V982" s="91"/>
      <c r="W982" s="91"/>
      <c r="X982" s="91"/>
      <c r="Y982" s="91"/>
      <c r="Z982" s="91"/>
    </row>
    <row r="983" spans="1:26" ht="13.2" x14ac:dyDescent="0.25">
      <c r="A983" s="96"/>
      <c r="B983" s="96"/>
      <c r="C983" s="96"/>
      <c r="D983" s="91"/>
      <c r="E983" s="91"/>
      <c r="F983" s="91"/>
      <c r="G983" s="91"/>
      <c r="H983" s="91"/>
      <c r="I983" s="91"/>
      <c r="J983" s="91"/>
      <c r="K983" s="91"/>
      <c r="L983" s="91"/>
      <c r="M983" s="91"/>
      <c r="N983" s="91"/>
      <c r="O983" s="91"/>
      <c r="P983" s="91"/>
      <c r="Q983" s="91"/>
      <c r="R983" s="91"/>
      <c r="S983" s="91"/>
      <c r="T983" s="91"/>
      <c r="U983" s="91"/>
      <c r="V983" s="91"/>
      <c r="W983" s="91"/>
      <c r="X983" s="91"/>
      <c r="Y983" s="91"/>
      <c r="Z983" s="91"/>
    </row>
    <row r="984" spans="1:26" ht="13.2" x14ac:dyDescent="0.25">
      <c r="A984" s="96"/>
      <c r="B984" s="96"/>
      <c r="C984" s="96"/>
      <c r="D984" s="91"/>
      <c r="E984" s="91"/>
      <c r="F984" s="91"/>
      <c r="G984" s="91"/>
      <c r="H984" s="91"/>
      <c r="I984" s="91"/>
      <c r="J984" s="91"/>
      <c r="K984" s="91"/>
      <c r="L984" s="91"/>
      <c r="M984" s="91"/>
      <c r="N984" s="91"/>
      <c r="O984" s="91"/>
      <c r="P984" s="91"/>
      <c r="Q984" s="91"/>
      <c r="R984" s="91"/>
      <c r="S984" s="91"/>
      <c r="T984" s="91"/>
      <c r="U984" s="91"/>
      <c r="V984" s="91"/>
      <c r="W984" s="91"/>
      <c r="X984" s="91"/>
      <c r="Y984" s="91"/>
      <c r="Z984" s="91"/>
    </row>
    <row r="985" spans="1:26" ht="13.2" x14ac:dyDescent="0.25">
      <c r="A985" s="96"/>
      <c r="B985" s="96"/>
      <c r="C985" s="96"/>
      <c r="D985" s="91"/>
      <c r="E985" s="91"/>
      <c r="F985" s="91"/>
      <c r="G985" s="91"/>
      <c r="H985" s="91"/>
      <c r="I985" s="91"/>
      <c r="J985" s="91"/>
      <c r="K985" s="91"/>
      <c r="L985" s="91"/>
      <c r="M985" s="91"/>
      <c r="N985" s="91"/>
      <c r="O985" s="91"/>
      <c r="P985" s="91"/>
      <c r="Q985" s="91"/>
      <c r="R985" s="91"/>
      <c r="S985" s="91"/>
      <c r="T985" s="91"/>
      <c r="U985" s="91"/>
      <c r="V985" s="91"/>
      <c r="W985" s="91"/>
      <c r="X985" s="91"/>
      <c r="Y985" s="91"/>
      <c r="Z985" s="91"/>
    </row>
    <row r="986" spans="1:26" ht="13.2" x14ac:dyDescent="0.25">
      <c r="A986" s="96"/>
      <c r="B986" s="96"/>
      <c r="C986" s="96"/>
      <c r="D986" s="91"/>
      <c r="E986" s="91"/>
      <c r="F986" s="91"/>
      <c r="G986" s="91"/>
      <c r="H986" s="91"/>
      <c r="I986" s="91"/>
      <c r="J986" s="91"/>
      <c r="K986" s="91"/>
      <c r="L986" s="91"/>
      <c r="M986" s="91"/>
      <c r="N986" s="91"/>
      <c r="O986" s="91"/>
      <c r="P986" s="91"/>
      <c r="Q986" s="91"/>
      <c r="R986" s="91"/>
      <c r="S986" s="91"/>
      <c r="T986" s="91"/>
      <c r="U986" s="91"/>
      <c r="V986" s="91"/>
      <c r="W986" s="91"/>
      <c r="X986" s="91"/>
      <c r="Y986" s="91"/>
      <c r="Z986" s="91"/>
    </row>
    <row r="987" spans="1:26" ht="13.2" x14ac:dyDescent="0.25">
      <c r="A987" s="96"/>
      <c r="B987" s="96"/>
      <c r="C987" s="96"/>
      <c r="D987" s="91"/>
      <c r="E987" s="91"/>
      <c r="F987" s="91"/>
      <c r="G987" s="91"/>
      <c r="H987" s="91"/>
      <c r="I987" s="91"/>
      <c r="J987" s="91"/>
      <c r="K987" s="91"/>
      <c r="L987" s="91"/>
      <c r="M987" s="91"/>
      <c r="N987" s="91"/>
      <c r="O987" s="91"/>
      <c r="P987" s="91"/>
      <c r="Q987" s="91"/>
      <c r="R987" s="91"/>
      <c r="S987" s="91"/>
      <c r="T987" s="91"/>
      <c r="U987" s="91"/>
      <c r="V987" s="91"/>
      <c r="W987" s="91"/>
      <c r="X987" s="91"/>
      <c r="Y987" s="91"/>
      <c r="Z987" s="91"/>
    </row>
    <row r="988" spans="1:26" ht="13.2" x14ac:dyDescent="0.25">
      <c r="A988" s="96"/>
      <c r="B988" s="96"/>
      <c r="C988" s="96"/>
      <c r="D988" s="91"/>
      <c r="E988" s="91"/>
      <c r="F988" s="91"/>
      <c r="G988" s="91"/>
      <c r="H988" s="91"/>
      <c r="I988" s="91"/>
      <c r="J988" s="91"/>
      <c r="K988" s="91"/>
      <c r="L988" s="91"/>
      <c r="M988" s="91"/>
      <c r="N988" s="91"/>
      <c r="O988" s="91"/>
      <c r="P988" s="91"/>
      <c r="Q988" s="91"/>
      <c r="R988" s="91"/>
      <c r="S988" s="91"/>
      <c r="T988" s="91"/>
      <c r="U988" s="91"/>
      <c r="V988" s="91"/>
      <c r="W988" s="91"/>
      <c r="X988" s="91"/>
      <c r="Y988" s="91"/>
      <c r="Z988" s="91"/>
    </row>
    <row r="989" spans="1:26" ht="13.2" x14ac:dyDescent="0.25">
      <c r="A989" s="96"/>
      <c r="B989" s="96"/>
      <c r="C989" s="96"/>
      <c r="D989" s="91"/>
      <c r="E989" s="91"/>
      <c r="F989" s="91"/>
      <c r="G989" s="91"/>
      <c r="H989" s="91"/>
      <c r="I989" s="91"/>
      <c r="J989" s="91"/>
      <c r="K989" s="91"/>
      <c r="L989" s="91"/>
      <c r="M989" s="91"/>
      <c r="N989" s="91"/>
      <c r="O989" s="91"/>
      <c r="P989" s="91"/>
      <c r="Q989" s="91"/>
      <c r="R989" s="91"/>
      <c r="S989" s="91"/>
      <c r="T989" s="91"/>
      <c r="U989" s="91"/>
      <c r="V989" s="91"/>
      <c r="W989" s="91"/>
      <c r="X989" s="91"/>
      <c r="Y989" s="91"/>
      <c r="Z989" s="91"/>
    </row>
    <row r="990" spans="1:26" ht="13.2" x14ac:dyDescent="0.25">
      <c r="A990" s="96"/>
      <c r="B990" s="96"/>
      <c r="C990" s="96"/>
      <c r="D990" s="91"/>
      <c r="E990" s="91"/>
      <c r="F990" s="91"/>
      <c r="G990" s="91"/>
      <c r="H990" s="91"/>
      <c r="I990" s="91"/>
      <c r="J990" s="91"/>
      <c r="K990" s="91"/>
      <c r="L990" s="91"/>
      <c r="M990" s="91"/>
      <c r="N990" s="91"/>
      <c r="O990" s="91"/>
      <c r="P990" s="91"/>
      <c r="Q990" s="91"/>
      <c r="R990" s="91"/>
      <c r="S990" s="91"/>
      <c r="T990" s="91"/>
      <c r="U990" s="91"/>
      <c r="V990" s="91"/>
      <c r="W990" s="91"/>
      <c r="X990" s="91"/>
      <c r="Y990" s="91"/>
      <c r="Z990" s="91"/>
    </row>
    <row r="991" spans="1:26" ht="13.2" x14ac:dyDescent="0.25">
      <c r="A991" s="96"/>
      <c r="B991" s="96"/>
      <c r="C991" s="96"/>
      <c r="D991" s="91"/>
      <c r="E991" s="91"/>
      <c r="F991" s="91"/>
      <c r="G991" s="91"/>
      <c r="H991" s="91"/>
      <c r="I991" s="91"/>
      <c r="J991" s="91"/>
      <c r="K991" s="91"/>
      <c r="L991" s="91"/>
      <c r="M991" s="91"/>
      <c r="N991" s="91"/>
      <c r="O991" s="91"/>
      <c r="P991" s="91"/>
      <c r="Q991" s="91"/>
      <c r="R991" s="91"/>
      <c r="S991" s="91"/>
      <c r="T991" s="91"/>
      <c r="U991" s="91"/>
      <c r="V991" s="91"/>
      <c r="W991" s="91"/>
      <c r="X991" s="91"/>
      <c r="Y991" s="91"/>
      <c r="Z991" s="91"/>
    </row>
    <row r="992" spans="1:26" ht="13.2" x14ac:dyDescent="0.25">
      <c r="A992" s="96"/>
      <c r="B992" s="96"/>
      <c r="C992" s="96"/>
      <c r="D992" s="91"/>
      <c r="E992" s="91"/>
      <c r="F992" s="91"/>
      <c r="G992" s="91"/>
      <c r="H992" s="91"/>
      <c r="I992" s="91"/>
      <c r="J992" s="91"/>
      <c r="K992" s="91"/>
      <c r="L992" s="91"/>
      <c r="M992" s="91"/>
      <c r="N992" s="91"/>
      <c r="O992" s="91"/>
      <c r="P992" s="91"/>
      <c r="Q992" s="91"/>
      <c r="R992" s="91"/>
      <c r="S992" s="91"/>
      <c r="T992" s="91"/>
      <c r="U992" s="91"/>
      <c r="V992" s="91"/>
      <c r="W992" s="91"/>
      <c r="X992" s="91"/>
      <c r="Y992" s="91"/>
      <c r="Z992" s="91"/>
    </row>
    <row r="993" spans="1:26" ht="13.2" x14ac:dyDescent="0.25">
      <c r="A993" s="96"/>
      <c r="B993" s="96"/>
      <c r="C993" s="96"/>
      <c r="D993" s="91"/>
      <c r="E993" s="91"/>
      <c r="F993" s="91"/>
      <c r="G993" s="91"/>
      <c r="H993" s="91"/>
      <c r="I993" s="91"/>
      <c r="J993" s="91"/>
      <c r="K993" s="91"/>
      <c r="L993" s="91"/>
      <c r="M993" s="91"/>
      <c r="N993" s="91"/>
      <c r="O993" s="91"/>
      <c r="P993" s="91"/>
      <c r="Q993" s="91"/>
      <c r="R993" s="91"/>
      <c r="S993" s="91"/>
      <c r="T993" s="91"/>
      <c r="U993" s="91"/>
      <c r="V993" s="91"/>
      <c r="W993" s="91"/>
      <c r="X993" s="91"/>
      <c r="Y993" s="91"/>
      <c r="Z993" s="91"/>
    </row>
    <row r="994" spans="1:26" ht="13.2" x14ac:dyDescent="0.25">
      <c r="A994" s="96"/>
      <c r="B994" s="96"/>
      <c r="C994" s="96"/>
      <c r="D994" s="91"/>
      <c r="E994" s="91"/>
      <c r="F994" s="91"/>
      <c r="G994" s="91"/>
      <c r="H994" s="91"/>
      <c r="I994" s="91"/>
      <c r="J994" s="91"/>
      <c r="K994" s="91"/>
      <c r="L994" s="91"/>
      <c r="M994" s="91"/>
      <c r="N994" s="91"/>
      <c r="O994" s="91"/>
      <c r="P994" s="91"/>
      <c r="Q994" s="91"/>
      <c r="R994" s="91"/>
      <c r="S994" s="91"/>
      <c r="T994" s="91"/>
      <c r="U994" s="91"/>
      <c r="V994" s="91"/>
      <c r="W994" s="91"/>
      <c r="X994" s="91"/>
      <c r="Y994" s="91"/>
      <c r="Z994" s="91"/>
    </row>
    <row r="995" spans="1:26" ht="13.2" x14ac:dyDescent="0.25">
      <c r="A995" s="96"/>
      <c r="B995" s="96"/>
      <c r="C995" s="96"/>
      <c r="D995" s="91"/>
      <c r="E995" s="91"/>
      <c r="F995" s="91"/>
      <c r="G995" s="91"/>
      <c r="H995" s="91"/>
      <c r="I995" s="91"/>
      <c r="J995" s="91"/>
      <c r="K995" s="91"/>
      <c r="L995" s="91"/>
      <c r="M995" s="91"/>
      <c r="N995" s="91"/>
      <c r="O995" s="91"/>
      <c r="P995" s="91"/>
      <c r="Q995" s="91"/>
      <c r="R995" s="91"/>
      <c r="S995" s="91"/>
      <c r="T995" s="91"/>
      <c r="U995" s="91"/>
      <c r="V995" s="91"/>
      <c r="W995" s="91"/>
      <c r="X995" s="91"/>
      <c r="Y995" s="91"/>
      <c r="Z995" s="91"/>
    </row>
    <row r="996" spans="1:26" ht="13.2" x14ac:dyDescent="0.25">
      <c r="A996" s="96"/>
      <c r="B996" s="96"/>
      <c r="C996" s="96"/>
      <c r="D996" s="91"/>
      <c r="E996" s="91"/>
      <c r="F996" s="91"/>
      <c r="G996" s="91"/>
      <c r="H996" s="91"/>
      <c r="I996" s="91"/>
      <c r="J996" s="91"/>
      <c r="K996" s="91"/>
      <c r="L996" s="91"/>
      <c r="M996" s="91"/>
      <c r="N996" s="91"/>
      <c r="O996" s="91"/>
      <c r="P996" s="91"/>
      <c r="Q996" s="91"/>
      <c r="R996" s="91"/>
      <c r="S996" s="91"/>
      <c r="T996" s="91"/>
      <c r="U996" s="91"/>
      <c r="V996" s="91"/>
      <c r="W996" s="91"/>
      <c r="X996" s="91"/>
      <c r="Y996" s="91"/>
      <c r="Z996" s="91"/>
    </row>
    <row r="997" spans="1:26" ht="13.2" x14ac:dyDescent="0.25">
      <c r="A997" s="96"/>
      <c r="B997" s="96"/>
      <c r="C997" s="96"/>
      <c r="D997" s="91"/>
      <c r="E997" s="91"/>
      <c r="F997" s="91"/>
      <c r="G997" s="91"/>
      <c r="H997" s="91"/>
      <c r="I997" s="91"/>
      <c r="J997" s="91"/>
      <c r="K997" s="91"/>
      <c r="L997" s="91"/>
      <c r="M997" s="91"/>
      <c r="N997" s="91"/>
      <c r="O997" s="91"/>
      <c r="P997" s="91"/>
      <c r="Q997" s="91"/>
      <c r="R997" s="91"/>
      <c r="S997" s="91"/>
      <c r="T997" s="91"/>
      <c r="U997" s="91"/>
      <c r="V997" s="91"/>
      <c r="W997" s="91"/>
      <c r="X997" s="91"/>
      <c r="Y997" s="91"/>
      <c r="Z997" s="91"/>
    </row>
    <row r="998" spans="1:26" ht="13.2" x14ac:dyDescent="0.25">
      <c r="A998" s="96"/>
      <c r="B998" s="96"/>
      <c r="C998" s="96"/>
      <c r="D998" s="91"/>
      <c r="E998" s="91"/>
      <c r="F998" s="91"/>
      <c r="G998" s="91"/>
      <c r="H998" s="91"/>
      <c r="I998" s="91"/>
      <c r="J998" s="91"/>
      <c r="K998" s="91"/>
      <c r="L998" s="91"/>
      <c r="M998" s="91"/>
      <c r="N998" s="91"/>
      <c r="O998" s="91"/>
      <c r="P998" s="91"/>
      <c r="Q998" s="91"/>
      <c r="R998" s="91"/>
      <c r="S998" s="91"/>
      <c r="T998" s="91"/>
      <c r="U998" s="91"/>
      <c r="V998" s="91"/>
      <c r="W998" s="91"/>
      <c r="X998" s="91"/>
      <c r="Y998" s="91"/>
      <c r="Z998" s="91"/>
    </row>
    <row r="999" spans="1:26" ht="13.2" x14ac:dyDescent="0.25">
      <c r="A999" s="96"/>
      <c r="B999" s="96"/>
      <c r="C999" s="96"/>
      <c r="D999" s="91"/>
      <c r="E999" s="91"/>
      <c r="F999" s="91"/>
      <c r="G999" s="91"/>
      <c r="H999" s="91"/>
      <c r="I999" s="91"/>
      <c r="J999" s="91"/>
      <c r="K999" s="91"/>
      <c r="L999" s="91"/>
      <c r="M999" s="91"/>
      <c r="N999" s="91"/>
      <c r="O999" s="91"/>
      <c r="P999" s="91"/>
      <c r="Q999" s="91"/>
      <c r="R999" s="91"/>
      <c r="S999" s="91"/>
      <c r="T999" s="91"/>
      <c r="U999" s="91"/>
      <c r="V999" s="91"/>
      <c r="W999" s="91"/>
      <c r="X999" s="91"/>
      <c r="Y999" s="91"/>
      <c r="Z999" s="91"/>
    </row>
    <row r="1000" spans="1:26" ht="13.2" x14ac:dyDescent="0.25">
      <c r="A1000" s="96"/>
      <c r="B1000" s="96"/>
      <c r="C1000" s="96"/>
      <c r="D1000" s="91"/>
      <c r="E1000" s="91"/>
      <c r="F1000" s="91"/>
      <c r="G1000" s="91"/>
      <c r="H1000" s="91"/>
      <c r="I1000" s="91"/>
      <c r="J1000" s="91"/>
      <c r="K1000" s="91"/>
      <c r="L1000" s="91"/>
      <c r="M1000" s="91"/>
      <c r="N1000" s="91"/>
      <c r="O1000" s="91"/>
      <c r="P1000" s="91"/>
      <c r="Q1000" s="91"/>
      <c r="R1000" s="91"/>
      <c r="S1000" s="91"/>
      <c r="T1000" s="91"/>
      <c r="U1000" s="91"/>
      <c r="V1000" s="91"/>
      <c r="W1000" s="91"/>
      <c r="X1000" s="91"/>
      <c r="Y1000" s="91"/>
      <c r="Z1000" s="9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C4587"/>
    <outlinePr summaryBelow="0" summaryRight="0"/>
    <pageSetUpPr fitToPage="1"/>
  </sheetPr>
  <dimension ref="A1:AA1024"/>
  <sheetViews>
    <sheetView showGridLines="0" workbookViewId="0">
      <pane ySplit="3" topLeftCell="A4" activePane="bottomLeft" state="frozen"/>
      <selection pane="bottomLeft" activeCell="B5" sqref="B5"/>
    </sheetView>
  </sheetViews>
  <sheetFormatPr defaultColWidth="12.6640625" defaultRowHeight="15.75" customHeight="1" x14ac:dyDescent="0.25"/>
  <cols>
    <col min="1" max="1" width="4.21875" customWidth="1"/>
    <col min="2" max="2" width="3.21875" customWidth="1"/>
    <col min="3" max="3" width="22.44140625" customWidth="1"/>
    <col min="4" max="4" width="6.44140625" customWidth="1"/>
    <col min="5" max="7" width="7.109375" customWidth="1"/>
    <col min="8" max="8" width="6.88671875" customWidth="1"/>
    <col min="10" max="10" width="8.21875" customWidth="1"/>
  </cols>
  <sheetData>
    <row r="1" spans="1:27" ht="25.8" x14ac:dyDescent="0.8">
      <c r="A1" s="1" t="s">
        <v>73</v>
      </c>
      <c r="B1" s="2"/>
      <c r="C1" s="3"/>
      <c r="D1" s="4"/>
      <c r="E1" s="5"/>
      <c r="F1" s="5"/>
      <c r="G1" s="5"/>
      <c r="H1" s="55"/>
      <c r="I1" s="56"/>
      <c r="J1" s="8"/>
    </row>
    <row r="2" spans="1:27" ht="16.2" x14ac:dyDescent="0.5">
      <c r="A2" s="9" t="s">
        <v>1</v>
      </c>
      <c r="B2" s="9" t="s">
        <v>2</v>
      </c>
      <c r="C2" s="11"/>
      <c r="D2" s="12" t="s">
        <v>3</v>
      </c>
      <c r="E2" s="12" t="s">
        <v>74</v>
      </c>
      <c r="F2" s="12" t="s">
        <v>75</v>
      </c>
      <c r="G2" s="12" t="s">
        <v>76</v>
      </c>
      <c r="H2" s="57" t="s">
        <v>77</v>
      </c>
      <c r="I2" s="14" t="s">
        <v>6</v>
      </c>
      <c r="J2" s="15" t="s">
        <v>7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13.2" x14ac:dyDescent="0.25">
      <c r="A3" s="17"/>
      <c r="B3" s="17"/>
      <c r="D3" s="18"/>
      <c r="E3" s="18"/>
      <c r="F3" s="18"/>
      <c r="G3" s="18"/>
      <c r="H3" s="58"/>
      <c r="I3" s="21"/>
      <c r="J3" s="22"/>
    </row>
    <row r="4" spans="1:27" ht="15.6" x14ac:dyDescent="0.25">
      <c r="A4" s="23">
        <v>1</v>
      </c>
      <c r="B4" s="97" t="s">
        <v>78</v>
      </c>
      <c r="C4" s="98"/>
      <c r="D4" s="98"/>
      <c r="E4" s="98"/>
      <c r="F4" s="98"/>
      <c r="G4" s="99"/>
      <c r="H4" s="59"/>
      <c r="I4" s="25">
        <f ca="1">IF(COUNTIFS(H5:H9,"&gt;0") &gt; 3, FLOOR((SUM(H5:H9)-MIN(H5,H6,H7,H8,H9))/4,0.0001), )</f>
        <v>4.83</v>
      </c>
      <c r="J4" s="26">
        <f ca="1">IF(I4=0,"",RANK(I4,$I$4:$I$224,))</f>
        <v>1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8.75" customHeight="1" x14ac:dyDescent="0.25">
      <c r="A5" s="17"/>
      <c r="B5" s="28">
        <v>1</v>
      </c>
      <c r="C5" s="29" t="s">
        <v>79</v>
      </c>
      <c r="D5" s="30" t="s">
        <v>10</v>
      </c>
      <c r="E5" s="60" t="s">
        <v>80</v>
      </c>
      <c r="F5" s="60" t="s">
        <v>81</v>
      </c>
      <c r="G5" s="60" t="s">
        <v>82</v>
      </c>
      <c r="H5" s="61">
        <f ca="1">IFERROR(__xludf.DUMMYFUNCTION("MAX(IF(REGEXMATCH(E5,""^\d{1},\d{2}$""),VALUE(E5),0),IF(REGEXMATCH(F5,""^\d{1},\d{2}$""),VALUE(F5),0),IF(REGEXMATCH(G5,""^\d{1},\d{2}$""),VALUE(G5),0))"),5.25)</f>
        <v>5.25</v>
      </c>
      <c r="I5" s="21"/>
      <c r="J5" s="22"/>
    </row>
    <row r="6" spans="1:27" ht="18.75" customHeight="1" x14ac:dyDescent="0.25">
      <c r="A6" s="17"/>
      <c r="B6" s="28">
        <v>2</v>
      </c>
      <c r="C6" s="29" t="s">
        <v>83</v>
      </c>
      <c r="D6" s="30" t="s">
        <v>15</v>
      </c>
      <c r="E6" s="60" t="s">
        <v>84</v>
      </c>
      <c r="F6" s="60" t="s">
        <v>85</v>
      </c>
      <c r="G6" s="60" t="s">
        <v>84</v>
      </c>
      <c r="H6" s="61">
        <f ca="1">IFERROR(__xludf.DUMMYFUNCTION("MAX(IF(REGEXMATCH(E6,""^\d{1},\d{2}$""),VALUE(E6),0),IF(REGEXMATCH(F6,""^\d{1},\d{2}$""),VALUE(F6),0),IF(REGEXMATCH(G6,""^\d{1},\d{2}$""),VALUE(G6),0))"),4.87)</f>
        <v>4.87</v>
      </c>
      <c r="I6" s="21"/>
      <c r="J6" s="22"/>
    </row>
    <row r="7" spans="1:27" ht="18.75" customHeight="1" x14ac:dyDescent="0.25">
      <c r="A7" s="17"/>
      <c r="B7" s="28">
        <v>3</v>
      </c>
      <c r="C7" s="29" t="s">
        <v>86</v>
      </c>
      <c r="D7" s="30" t="s">
        <v>10</v>
      </c>
      <c r="E7" s="60" t="s">
        <v>84</v>
      </c>
      <c r="F7" s="60" t="s">
        <v>87</v>
      </c>
      <c r="G7" s="60" t="s">
        <v>88</v>
      </c>
      <c r="H7" s="61">
        <f ca="1">IFERROR(__xludf.DUMMYFUNCTION("MAX(IF(REGEXMATCH(E7,""^\d{1},\d{2}$""),VALUE(E7),0),IF(REGEXMATCH(F7,""^\d{1},\d{2}$""),VALUE(F7),0),IF(REGEXMATCH(G7,""^\d{1},\d{2}$""),VALUE(G7),0))"),4.48)</f>
        <v>4.4800000000000004</v>
      </c>
      <c r="I7" s="21"/>
      <c r="J7" s="22"/>
    </row>
    <row r="8" spans="1:27" ht="18.75" customHeight="1" x14ac:dyDescent="0.25">
      <c r="A8" s="17"/>
      <c r="B8" s="28">
        <v>4</v>
      </c>
      <c r="C8" s="29" t="s">
        <v>89</v>
      </c>
      <c r="D8" s="30" t="s">
        <v>15</v>
      </c>
      <c r="E8" s="60" t="s">
        <v>88</v>
      </c>
      <c r="F8" s="60" t="s">
        <v>90</v>
      </c>
      <c r="G8" s="60" t="s">
        <v>91</v>
      </c>
      <c r="H8" s="61">
        <f ca="1">IFERROR(__xludf.DUMMYFUNCTION("MAX(IF(REGEXMATCH(E8,""^\d{1},\d{2}$""),VALUE(E8),0),IF(REGEXMATCH(F8,""^\d{1},\d{2}$""),VALUE(F8),0),IF(REGEXMATCH(G8,""^\d{1},\d{2}$""),VALUE(G8),0))"),4.72)</f>
        <v>4.72</v>
      </c>
      <c r="I8" s="21"/>
      <c r="J8" s="22"/>
    </row>
    <row r="9" spans="1:27" ht="18.75" customHeight="1" x14ac:dyDescent="0.25">
      <c r="A9" s="17"/>
      <c r="B9" s="28">
        <v>5</v>
      </c>
      <c r="C9" s="29" t="s">
        <v>92</v>
      </c>
      <c r="D9" s="30" t="s">
        <v>15</v>
      </c>
      <c r="E9" s="60" t="s">
        <v>93</v>
      </c>
      <c r="F9" s="60" t="s">
        <v>94</v>
      </c>
      <c r="G9" s="60" t="s">
        <v>84</v>
      </c>
      <c r="H9" s="61">
        <f ca="1">IFERROR(__xludf.DUMMYFUNCTION("MAX(IF(REGEXMATCH(E9,""^\d{1},\d{2}$""),VALUE(E9),0),IF(REGEXMATCH(F9,""^\d{1},\d{2}$""),VALUE(F9),0),IF(REGEXMATCH(G9,""^\d{1},\d{2}$""),VALUE(G9),0))"),4.44)</f>
        <v>4.4400000000000004</v>
      </c>
      <c r="I9" s="21"/>
      <c r="J9" s="22"/>
    </row>
    <row r="10" spans="1:27" ht="13.2" x14ac:dyDescent="0.25">
      <c r="A10" s="17"/>
      <c r="B10" s="62" t="s">
        <v>18</v>
      </c>
      <c r="C10" s="36"/>
      <c r="D10" s="37" t="s">
        <v>95</v>
      </c>
      <c r="E10" s="38"/>
      <c r="F10" s="38"/>
      <c r="G10" s="38"/>
      <c r="H10" s="63"/>
      <c r="I10" s="21"/>
      <c r="J10" s="22"/>
    </row>
    <row r="11" spans="1:27" ht="13.2" x14ac:dyDescent="0.25">
      <c r="A11" s="17"/>
      <c r="B11" s="17"/>
      <c r="D11" s="18"/>
      <c r="E11" s="18"/>
      <c r="F11" s="18"/>
      <c r="G11" s="18"/>
      <c r="H11" s="58"/>
      <c r="I11" s="21"/>
      <c r="J11" s="22"/>
    </row>
    <row r="12" spans="1:27" ht="15.6" x14ac:dyDescent="0.25">
      <c r="A12" s="23">
        <v>2</v>
      </c>
      <c r="B12" s="97" t="s">
        <v>96</v>
      </c>
      <c r="C12" s="98"/>
      <c r="D12" s="98"/>
      <c r="E12" s="98"/>
      <c r="F12" s="98"/>
      <c r="G12" s="98"/>
      <c r="H12" s="59"/>
      <c r="I12" s="25">
        <f ca="1">IF(COUNTIFS(H13:H17,"&gt;0") &gt; 3, FLOOR((SUM(H13:H17)-MIN(H13,H14,H15,H16,H17))/4,0.0001), )</f>
        <v>4.7949999999999999</v>
      </c>
      <c r="J12" s="26">
        <f ca="1">IF(I12=0,"",RANK(I12,$I$4:$I$224,))</f>
        <v>2</v>
      </c>
    </row>
    <row r="13" spans="1:27" ht="18.75" customHeight="1" x14ac:dyDescent="0.25">
      <c r="A13" s="17"/>
      <c r="B13" s="28">
        <v>1</v>
      </c>
      <c r="C13" s="29" t="s">
        <v>21</v>
      </c>
      <c r="D13" s="30" t="s">
        <v>10</v>
      </c>
      <c r="E13" s="60" t="s">
        <v>97</v>
      </c>
      <c r="F13" s="60" t="s">
        <v>98</v>
      </c>
      <c r="G13" s="60" t="s">
        <v>84</v>
      </c>
      <c r="H13" s="61">
        <f ca="1">IFERROR(__xludf.DUMMYFUNCTION("MAX(IF(REGEXMATCH(E13,""^\d{1},\d{2}$""),VALUE(E13),0),IF(REGEXMATCH(F13,""^\d{1},\d{2}$""),VALUE(F13),0),IF(REGEXMATCH(G13,""^\d{1},\d{2}$""),VALUE(G13),0))"),4.86)</f>
        <v>4.8600000000000003</v>
      </c>
      <c r="I13" s="21"/>
      <c r="J13" s="22"/>
    </row>
    <row r="14" spans="1:27" ht="18.75" customHeight="1" x14ac:dyDescent="0.25">
      <c r="A14" s="17"/>
      <c r="B14" s="28">
        <v>2</v>
      </c>
      <c r="C14" s="29" t="s">
        <v>22</v>
      </c>
      <c r="D14" s="30" t="s">
        <v>10</v>
      </c>
      <c r="E14" s="60" t="s">
        <v>99</v>
      </c>
      <c r="F14" s="60" t="s">
        <v>100</v>
      </c>
      <c r="G14" s="60" t="s">
        <v>101</v>
      </c>
      <c r="H14" s="61">
        <f ca="1">IFERROR(__xludf.DUMMYFUNCTION("MAX(IF(REGEXMATCH(E14,""^\d{1},\d{2}$""),VALUE(E14),0),IF(REGEXMATCH(F14,""^\d{1},\d{2}$""),VALUE(F14),0),IF(REGEXMATCH(G14,""^\d{1},\d{2}$""),VALUE(G14),0))"),4.68)</f>
        <v>4.68</v>
      </c>
      <c r="I14" s="21"/>
      <c r="J14" s="22"/>
    </row>
    <row r="15" spans="1:27" ht="18.75" customHeight="1" x14ac:dyDescent="0.25">
      <c r="A15" s="17"/>
      <c r="B15" s="28">
        <v>3</v>
      </c>
      <c r="C15" s="29" t="s">
        <v>102</v>
      </c>
      <c r="D15" s="30" t="s">
        <v>10</v>
      </c>
      <c r="E15" s="60" t="s">
        <v>103</v>
      </c>
      <c r="F15" s="60" t="s">
        <v>104</v>
      </c>
      <c r="G15" s="60" t="s">
        <v>98</v>
      </c>
      <c r="H15" s="61">
        <f ca="1">IFERROR(__xludf.DUMMYFUNCTION("MAX(IF(REGEXMATCH(E15,""^\d{1},\d{2}$""),VALUE(E15),0),IF(REGEXMATCH(F15,""^\d{1},\d{2}$""),VALUE(F15),0),IF(REGEXMATCH(G15,""^\d{1},\d{2}$""),VALUE(G15),0))"),4.92)</f>
        <v>4.92</v>
      </c>
      <c r="I15" s="21"/>
      <c r="J15" s="22"/>
    </row>
    <row r="16" spans="1:27" ht="18.75" customHeight="1" x14ac:dyDescent="0.25">
      <c r="A16" s="17"/>
      <c r="B16" s="28">
        <v>4</v>
      </c>
      <c r="C16" s="29" t="s">
        <v>24</v>
      </c>
      <c r="D16" s="30" t="s">
        <v>15</v>
      </c>
      <c r="E16" s="60" t="s">
        <v>84</v>
      </c>
      <c r="F16" s="60" t="s">
        <v>84</v>
      </c>
      <c r="G16" s="60" t="s">
        <v>90</v>
      </c>
      <c r="H16" s="61">
        <f ca="1">IFERROR(__xludf.DUMMYFUNCTION("MAX(IF(REGEXMATCH(E16,""^\d{1},\d{2}$""),VALUE(E16),0),IF(REGEXMATCH(F16,""^\d{1},\d{2}$""),VALUE(F16),0),IF(REGEXMATCH(G16,""^\d{1},\d{2}$""),VALUE(G16),0))"),4.72)</f>
        <v>4.72</v>
      </c>
      <c r="I16" s="21"/>
      <c r="J16" s="22"/>
    </row>
    <row r="17" spans="1:10" ht="18.75" customHeight="1" x14ac:dyDescent="0.25">
      <c r="A17" s="17"/>
      <c r="B17" s="28">
        <v>5</v>
      </c>
      <c r="C17" s="29" t="s">
        <v>105</v>
      </c>
      <c r="D17" s="30" t="s">
        <v>15</v>
      </c>
      <c r="E17" s="60" t="s">
        <v>84</v>
      </c>
      <c r="F17" s="60" t="s">
        <v>106</v>
      </c>
      <c r="G17" s="60" t="s">
        <v>107</v>
      </c>
      <c r="H17" s="61">
        <f ca="1">IFERROR(__xludf.DUMMYFUNCTION("MAX(IF(REGEXMATCH(E17,""^\d{1},\d{2}$""),VALUE(E17),0),IF(REGEXMATCH(F17,""^\d{1},\d{2}$""),VALUE(F17),0),IF(REGEXMATCH(G17,""^\d{1},\d{2}$""),VALUE(G17),0))"),4.63)</f>
        <v>4.63</v>
      </c>
      <c r="I17" s="21"/>
      <c r="J17" s="22"/>
    </row>
    <row r="18" spans="1:10" ht="13.2" x14ac:dyDescent="0.25">
      <c r="A18" s="17"/>
      <c r="B18" s="62" t="s">
        <v>18</v>
      </c>
      <c r="C18" s="36"/>
      <c r="D18" s="44" t="s">
        <v>108</v>
      </c>
      <c r="E18" s="38"/>
      <c r="F18" s="38"/>
      <c r="G18" s="38"/>
      <c r="H18" s="63"/>
      <c r="I18" s="21"/>
      <c r="J18" s="22"/>
    </row>
    <row r="19" spans="1:10" ht="13.2" x14ac:dyDescent="0.25">
      <c r="A19" s="17"/>
      <c r="B19" s="17"/>
      <c r="D19" s="18"/>
      <c r="E19" s="18"/>
      <c r="F19" s="18"/>
      <c r="G19" s="18"/>
      <c r="H19" s="58"/>
      <c r="I19" s="21"/>
      <c r="J19" s="22"/>
    </row>
    <row r="20" spans="1:10" ht="15.6" x14ac:dyDescent="0.25">
      <c r="A20" s="23">
        <v>3</v>
      </c>
      <c r="B20" s="97" t="s">
        <v>109</v>
      </c>
      <c r="C20" s="98"/>
      <c r="D20" s="98"/>
      <c r="E20" s="98"/>
      <c r="F20" s="98"/>
      <c r="G20" s="98"/>
      <c r="H20" s="59"/>
      <c r="I20" s="25">
        <f ca="1">IF(COUNTIFS(H21:H25,"&gt;0") &gt; 3, FLOOR((SUM(H21:H25)-MIN(H21,H22,H23,H24,H25))/4,0.0001), )</f>
        <v>4.5475000000000003</v>
      </c>
      <c r="J20" s="26">
        <f ca="1">IF(I20=0,"",RANK(I20,$I$4:$I$224,))</f>
        <v>3</v>
      </c>
    </row>
    <row r="21" spans="1:10" ht="13.2" x14ac:dyDescent="0.25">
      <c r="A21" s="17"/>
      <c r="B21" s="28">
        <v>1</v>
      </c>
      <c r="C21" s="29" t="s">
        <v>110</v>
      </c>
      <c r="D21" s="30" t="s">
        <v>10</v>
      </c>
      <c r="E21" s="60" t="s">
        <v>84</v>
      </c>
      <c r="F21" s="60" t="s">
        <v>84</v>
      </c>
      <c r="G21" s="60" t="s">
        <v>84</v>
      </c>
      <c r="H21" s="61">
        <f ca="1">IFERROR(__xludf.DUMMYFUNCTION("MAX(IF(REGEXMATCH(E21,""^\d{1},\d{2}$""),VALUE(E21),0),IF(REGEXMATCH(F21,""^\d{1},\d{2}$""),VALUE(F21),0),IF(REGEXMATCH(G21,""^\d{1},\d{2}$""),VALUE(G21),0))"),0)</f>
        <v>0</v>
      </c>
      <c r="I21" s="21"/>
      <c r="J21" s="22"/>
    </row>
    <row r="22" spans="1:10" ht="13.2" x14ac:dyDescent="0.25">
      <c r="A22" s="17"/>
      <c r="B22" s="28">
        <v>2</v>
      </c>
      <c r="C22" s="29" t="s">
        <v>111</v>
      </c>
      <c r="D22" s="30" t="s">
        <v>15</v>
      </c>
      <c r="E22" s="60" t="s">
        <v>112</v>
      </c>
      <c r="F22" s="60" t="s">
        <v>113</v>
      </c>
      <c r="G22" s="60" t="s">
        <v>114</v>
      </c>
      <c r="H22" s="61">
        <f ca="1">IFERROR(__xludf.DUMMYFUNCTION("MAX(IF(REGEXMATCH(E22,""^\d{1},\d{2}$""),VALUE(E22),0),IF(REGEXMATCH(F22,""^\d{1},\d{2}$""),VALUE(F22),0),IF(REGEXMATCH(G22,""^\d{1},\d{2}$""),VALUE(G22),0))"),4.98)</f>
        <v>4.9800000000000004</v>
      </c>
      <c r="I22" s="21"/>
      <c r="J22" s="22"/>
    </row>
    <row r="23" spans="1:10" ht="13.2" x14ac:dyDescent="0.25">
      <c r="A23" s="17"/>
      <c r="B23" s="28">
        <v>3</v>
      </c>
      <c r="C23" s="29" t="s">
        <v>115</v>
      </c>
      <c r="D23" s="30" t="s">
        <v>10</v>
      </c>
      <c r="E23" s="60" t="s">
        <v>116</v>
      </c>
      <c r="F23" s="60" t="s">
        <v>84</v>
      </c>
      <c r="G23" s="60" t="s">
        <v>103</v>
      </c>
      <c r="H23" s="61">
        <f ca="1">IFERROR(__xludf.DUMMYFUNCTION("MAX(IF(REGEXMATCH(E23,""^\d{1},\d{2}$""),VALUE(E23),0),IF(REGEXMATCH(F23,""^\d{1},\d{2}$""),VALUE(F23),0),IF(REGEXMATCH(G23,""^\d{1},\d{2}$""),VALUE(G23),0))"),4.8)</f>
        <v>4.8</v>
      </c>
      <c r="I23" s="21"/>
      <c r="J23" s="22"/>
    </row>
    <row r="24" spans="1:10" ht="13.2" x14ac:dyDescent="0.25">
      <c r="A24" s="17"/>
      <c r="B24" s="28">
        <v>4</v>
      </c>
      <c r="C24" s="29" t="s">
        <v>117</v>
      </c>
      <c r="D24" s="30" t="s">
        <v>15</v>
      </c>
      <c r="E24" s="60" t="s">
        <v>118</v>
      </c>
      <c r="F24" s="60" t="s">
        <v>119</v>
      </c>
      <c r="G24" s="60" t="s">
        <v>120</v>
      </c>
      <c r="H24" s="61">
        <f ca="1">IFERROR(__xludf.DUMMYFUNCTION("MAX(IF(REGEXMATCH(E24,""^\d{1},\d{2}$""),VALUE(E24),0),IF(REGEXMATCH(F24,""^\d{1},\d{2}$""),VALUE(F24),0),IF(REGEXMATCH(G24,""^\d{1},\d{2}$""),VALUE(G24),0))"),3.92)</f>
        <v>3.92</v>
      </c>
      <c r="I24" s="21"/>
      <c r="J24" s="22"/>
    </row>
    <row r="25" spans="1:10" ht="13.2" x14ac:dyDescent="0.25">
      <c r="A25" s="17"/>
      <c r="B25" s="28">
        <v>5</v>
      </c>
      <c r="C25" s="29" t="s">
        <v>121</v>
      </c>
      <c r="D25" s="30" t="s">
        <v>10</v>
      </c>
      <c r="E25" s="60" t="s">
        <v>122</v>
      </c>
      <c r="F25" s="60" t="s">
        <v>123</v>
      </c>
      <c r="G25" s="60" t="s">
        <v>124</v>
      </c>
      <c r="H25" s="61">
        <f ca="1">IFERROR(__xludf.DUMMYFUNCTION("MAX(IF(REGEXMATCH(E25,""^\d{1},\d{2}$""),VALUE(E25),0),IF(REGEXMATCH(F25,""^\d{1},\d{2}$""),VALUE(F25),0),IF(REGEXMATCH(G25,""^\d{1},\d{2}$""),VALUE(G25),0))"),4.49)</f>
        <v>4.49</v>
      </c>
      <c r="I25" s="21"/>
      <c r="J25" s="22"/>
    </row>
    <row r="26" spans="1:10" ht="13.2" x14ac:dyDescent="0.25">
      <c r="A26" s="17"/>
      <c r="B26" s="62" t="s">
        <v>18</v>
      </c>
      <c r="C26" s="36"/>
      <c r="D26" s="44" t="s">
        <v>125</v>
      </c>
      <c r="E26" s="38"/>
      <c r="F26" s="38"/>
      <c r="G26" s="38"/>
      <c r="H26" s="63"/>
      <c r="I26" s="21"/>
      <c r="J26" s="22"/>
    </row>
    <row r="27" spans="1:10" ht="13.2" x14ac:dyDescent="0.25">
      <c r="A27" s="17"/>
      <c r="B27" s="17"/>
      <c r="D27" s="18"/>
      <c r="E27" s="18"/>
      <c r="F27" s="18"/>
      <c r="G27" s="18"/>
      <c r="H27" s="58"/>
      <c r="I27" s="21"/>
      <c r="J27" s="22"/>
    </row>
    <row r="28" spans="1:10" ht="15.6" x14ac:dyDescent="0.25">
      <c r="A28" s="23">
        <v>4</v>
      </c>
      <c r="B28" s="97" t="s">
        <v>126</v>
      </c>
      <c r="C28" s="98"/>
      <c r="D28" s="98"/>
      <c r="E28" s="98"/>
      <c r="F28" s="98"/>
      <c r="G28" s="98"/>
      <c r="H28" s="59"/>
      <c r="I28" s="25">
        <f ca="1">IF(COUNTIFS(H29:H33,"&gt;0") &gt; 3, FLOOR((SUM(H29:H33)-MIN(H29,H30,H31,H32,H33))/4,0.0001), )</f>
        <v>4.4975000000000005</v>
      </c>
      <c r="J28" s="26">
        <f ca="1">IF(I28=0,"",RANK(I28,$I$4:$I$224,))</f>
        <v>4</v>
      </c>
    </row>
    <row r="29" spans="1:10" ht="13.2" x14ac:dyDescent="0.25">
      <c r="A29" s="17"/>
      <c r="B29" s="28">
        <v>1</v>
      </c>
      <c r="C29" s="29" t="s">
        <v>127</v>
      </c>
      <c r="D29" s="30" t="s">
        <v>15</v>
      </c>
      <c r="E29" s="60" t="s">
        <v>84</v>
      </c>
      <c r="F29" s="60" t="s">
        <v>84</v>
      </c>
      <c r="G29" s="60" t="s">
        <v>128</v>
      </c>
      <c r="H29" s="61">
        <f ca="1">IFERROR(__xludf.DUMMYFUNCTION("MAX(IF(REGEXMATCH(E29,""^\d{1},\d{2}$""),VALUE(E29),0),IF(REGEXMATCH(F29,""^\d{1},\d{2}$""),VALUE(F29),0),IF(REGEXMATCH(G29,""^\d{1},\d{2}$""),VALUE(G29),0))"),3.2)</f>
        <v>3.2</v>
      </c>
      <c r="I29" s="21"/>
      <c r="J29" s="22"/>
    </row>
    <row r="30" spans="1:10" ht="13.2" x14ac:dyDescent="0.25">
      <c r="A30" s="17"/>
      <c r="B30" s="28">
        <v>2</v>
      </c>
      <c r="C30" s="29" t="s">
        <v>129</v>
      </c>
      <c r="D30" s="30" t="s">
        <v>10</v>
      </c>
      <c r="E30" s="60" t="s">
        <v>84</v>
      </c>
      <c r="F30" s="60" t="s">
        <v>130</v>
      </c>
      <c r="G30" s="60" t="s">
        <v>88</v>
      </c>
      <c r="H30" s="61">
        <f ca="1">IFERROR(__xludf.DUMMYFUNCTION("MAX(IF(REGEXMATCH(E30,""^\d{1},\d{2}$""),VALUE(E30),0),IF(REGEXMATCH(F30,""^\d{1},\d{2}$""),VALUE(F30),0),IF(REGEXMATCH(G30,""^\d{1},\d{2}$""),VALUE(G30),0))"),4.48)</f>
        <v>4.4800000000000004</v>
      </c>
      <c r="I30" s="21"/>
      <c r="J30" s="22"/>
    </row>
    <row r="31" spans="1:10" ht="13.2" x14ac:dyDescent="0.25">
      <c r="A31" s="17"/>
      <c r="B31" s="28">
        <v>3</v>
      </c>
      <c r="C31" s="29" t="s">
        <v>131</v>
      </c>
      <c r="D31" s="30" t="s">
        <v>10</v>
      </c>
      <c r="E31" s="60" t="s">
        <v>132</v>
      </c>
      <c r="F31" s="60" t="s">
        <v>107</v>
      </c>
      <c r="G31" s="60" t="s">
        <v>90</v>
      </c>
      <c r="H31" s="61">
        <f ca="1">IFERROR(__xludf.DUMMYFUNCTION("MAX(IF(REGEXMATCH(E31,""^\d{1},\d{2}$""),VALUE(E31),0),IF(REGEXMATCH(F31,""^\d{1},\d{2}$""),VALUE(F31),0),IF(REGEXMATCH(G31,""^\d{1},\d{2}$""),VALUE(G31),0))"),4.74)</f>
        <v>4.74</v>
      </c>
      <c r="I31" s="21"/>
      <c r="J31" s="22"/>
    </row>
    <row r="32" spans="1:10" ht="13.2" x14ac:dyDescent="0.25">
      <c r="A32" s="17"/>
      <c r="B32" s="28">
        <v>4</v>
      </c>
      <c r="C32" s="29" t="s">
        <v>133</v>
      </c>
      <c r="D32" s="30" t="s">
        <v>15</v>
      </c>
      <c r="E32" s="60" t="s">
        <v>134</v>
      </c>
      <c r="F32" s="60" t="s">
        <v>135</v>
      </c>
      <c r="G32" s="60" t="s">
        <v>136</v>
      </c>
      <c r="H32" s="61">
        <f ca="1">IFERROR(__xludf.DUMMYFUNCTION("MAX(IF(REGEXMATCH(E32,""^\d{1},\d{2}$""),VALUE(E32),0),IF(REGEXMATCH(F32,""^\d{1},\d{2}$""),VALUE(F32),0),IF(REGEXMATCH(G32,""^\d{1},\d{2}$""),VALUE(G32),0))"),4.39)</f>
        <v>4.3899999999999997</v>
      </c>
      <c r="I32" s="21"/>
      <c r="J32" s="22"/>
    </row>
    <row r="33" spans="1:10" ht="13.2" x14ac:dyDescent="0.25">
      <c r="A33" s="17"/>
      <c r="B33" s="28">
        <v>5</v>
      </c>
      <c r="C33" s="29" t="s">
        <v>137</v>
      </c>
      <c r="D33" s="30" t="s">
        <v>10</v>
      </c>
      <c r="E33" s="60" t="s">
        <v>116</v>
      </c>
      <c r="F33" s="60" t="s">
        <v>123</v>
      </c>
      <c r="G33" s="60" t="s">
        <v>130</v>
      </c>
      <c r="H33" s="61">
        <f ca="1">IFERROR(__xludf.DUMMYFUNCTION("MAX(IF(REGEXMATCH(E33,""^\d{1},\d{2}$""),VALUE(E33),0),IF(REGEXMATCH(F33,""^\d{1},\d{2}$""),VALUE(F33),0),IF(REGEXMATCH(G33,""^\d{1},\d{2}$""),VALUE(G33),0))"),4.38)</f>
        <v>4.38</v>
      </c>
      <c r="I33" s="21"/>
      <c r="J33" s="22"/>
    </row>
    <row r="34" spans="1:10" ht="13.2" x14ac:dyDescent="0.25">
      <c r="A34" s="17"/>
      <c r="B34" s="62" t="s">
        <v>18</v>
      </c>
      <c r="C34" s="36"/>
      <c r="D34" s="44" t="s">
        <v>138</v>
      </c>
      <c r="E34" s="38"/>
      <c r="F34" s="38"/>
      <c r="G34" s="38"/>
      <c r="H34" s="63"/>
      <c r="I34" s="21"/>
      <c r="J34" s="22"/>
    </row>
    <row r="35" spans="1:10" ht="13.2" x14ac:dyDescent="0.25">
      <c r="A35" s="17"/>
      <c r="B35" s="17"/>
      <c r="D35" s="18"/>
      <c r="E35" s="18"/>
      <c r="F35" s="18"/>
      <c r="G35" s="18"/>
      <c r="H35" s="58"/>
      <c r="I35" s="21"/>
      <c r="J35" s="22"/>
    </row>
    <row r="36" spans="1:10" ht="15.6" x14ac:dyDescent="0.25">
      <c r="A36" s="23">
        <v>5</v>
      </c>
      <c r="B36" s="97" t="s">
        <v>46</v>
      </c>
      <c r="C36" s="98"/>
      <c r="D36" s="98"/>
      <c r="E36" s="98"/>
      <c r="F36" s="98"/>
      <c r="G36" s="98"/>
      <c r="H36" s="59"/>
      <c r="I36" s="25">
        <f ca="1">IF(COUNTIFS(H37:H41,"&gt;0") &gt; 3, FLOOR((SUM(H37:H41)-MIN(H37,H38,H39,H40,H41))/4,0.0001), )</f>
        <v>4.4175000000000004</v>
      </c>
      <c r="J36" s="26">
        <f ca="1">IF(I36=0,"",RANK(I36,$I$4:$I$224,))</f>
        <v>5</v>
      </c>
    </row>
    <row r="37" spans="1:10" ht="13.2" x14ac:dyDescent="0.25">
      <c r="A37" s="17"/>
      <c r="B37" s="28">
        <v>1</v>
      </c>
      <c r="C37" s="29" t="s">
        <v>139</v>
      </c>
      <c r="D37" s="30" t="s">
        <v>10</v>
      </c>
      <c r="E37" s="60" t="s">
        <v>124</v>
      </c>
      <c r="F37" s="60" t="s">
        <v>140</v>
      </c>
      <c r="G37" s="60" t="s">
        <v>136</v>
      </c>
      <c r="H37" s="61">
        <f ca="1">IFERROR(__xludf.DUMMYFUNCTION("MAX(IF(REGEXMATCH(E37,""^\d{1},\d{2}$""),VALUE(E37),0),IF(REGEXMATCH(F37,""^\d{1},\d{2}$""),VALUE(F37),0),IF(REGEXMATCH(G37,""^\d{1},\d{2}$""),VALUE(G37),0))"),4.4)</f>
        <v>4.4000000000000004</v>
      </c>
      <c r="I37" s="21"/>
      <c r="J37" s="22"/>
    </row>
    <row r="38" spans="1:10" ht="13.2" x14ac:dyDescent="0.25">
      <c r="A38" s="17"/>
      <c r="B38" s="28">
        <v>2</v>
      </c>
      <c r="C38" s="29" t="s">
        <v>47</v>
      </c>
      <c r="D38" s="30" t="s">
        <v>10</v>
      </c>
      <c r="E38" s="60" t="s">
        <v>99</v>
      </c>
      <c r="F38" s="60" t="s">
        <v>141</v>
      </c>
      <c r="G38" s="60" t="s">
        <v>84</v>
      </c>
      <c r="H38" s="61">
        <f ca="1">IFERROR(__xludf.DUMMYFUNCTION("MAX(IF(REGEXMATCH(E38,""^\d{1},\d{2}$""),VALUE(E38),0),IF(REGEXMATCH(F38,""^\d{1},\d{2}$""),VALUE(F38),0),IF(REGEXMATCH(G38,""^\d{1},\d{2}$""),VALUE(G38),0))"),4.56)</f>
        <v>4.5599999999999996</v>
      </c>
      <c r="I38" s="21"/>
      <c r="J38" s="22"/>
    </row>
    <row r="39" spans="1:10" ht="13.2" x14ac:dyDescent="0.25">
      <c r="A39" s="17"/>
      <c r="B39" s="28">
        <v>3</v>
      </c>
      <c r="C39" s="29" t="s">
        <v>142</v>
      </c>
      <c r="D39" s="30" t="s">
        <v>10</v>
      </c>
      <c r="E39" s="60" t="s">
        <v>84</v>
      </c>
      <c r="F39" s="60" t="s">
        <v>143</v>
      </c>
      <c r="G39" s="60" t="s">
        <v>144</v>
      </c>
      <c r="H39" s="61">
        <f ca="1">IFERROR(__xludf.DUMMYFUNCTION("MAX(IF(REGEXMATCH(E39,""^\d{1},\d{2}$""),VALUE(E39),0),IF(REGEXMATCH(F39,""^\d{1},\d{2}$""),VALUE(F39),0),IF(REGEXMATCH(G39,""^\d{1},\d{2}$""),VALUE(G39),0))"),4.28)</f>
        <v>4.28</v>
      </c>
      <c r="I39" s="21"/>
      <c r="J39" s="22"/>
    </row>
    <row r="40" spans="1:10" ht="13.2" x14ac:dyDescent="0.25">
      <c r="A40" s="17"/>
      <c r="B40" s="28">
        <v>4</v>
      </c>
      <c r="C40" s="29" t="s">
        <v>49</v>
      </c>
      <c r="D40" s="30" t="s">
        <v>15</v>
      </c>
      <c r="E40" s="60" t="s">
        <v>84</v>
      </c>
      <c r="F40" s="60" t="s">
        <v>145</v>
      </c>
      <c r="G40" s="60" t="s">
        <v>84</v>
      </c>
      <c r="H40" s="61">
        <f ca="1">IFERROR(__xludf.DUMMYFUNCTION("MAX(IF(REGEXMATCH(E40,""^\d{1},\d{2}$""),VALUE(E40),0),IF(REGEXMATCH(F40,""^\d{1},\d{2}$""),VALUE(F40),0),IF(REGEXMATCH(G40,""^\d{1},\d{2}$""),VALUE(G40),0))"),3.57)</f>
        <v>3.57</v>
      </c>
      <c r="I40" s="21"/>
      <c r="J40" s="22"/>
    </row>
    <row r="41" spans="1:10" ht="13.2" x14ac:dyDescent="0.25">
      <c r="A41" s="17"/>
      <c r="B41" s="28">
        <v>5</v>
      </c>
      <c r="C41" s="29" t="s">
        <v>146</v>
      </c>
      <c r="D41" s="30" t="s">
        <v>10</v>
      </c>
      <c r="E41" s="60" t="s">
        <v>99</v>
      </c>
      <c r="F41" s="60" t="s">
        <v>147</v>
      </c>
      <c r="G41" s="60" t="s">
        <v>84</v>
      </c>
      <c r="H41" s="61">
        <f ca="1">IFERROR(__xludf.DUMMYFUNCTION("MAX(IF(REGEXMATCH(E41,""^\d{1},\d{2}$""),VALUE(E41),0),IF(REGEXMATCH(F41,""^\d{1},\d{2}$""),VALUE(F41),0),IF(REGEXMATCH(G41,""^\d{1},\d{2}$""),VALUE(G41),0))"),4.43)</f>
        <v>4.43</v>
      </c>
      <c r="I41" s="21"/>
      <c r="J41" s="22"/>
    </row>
    <row r="42" spans="1:10" ht="13.2" x14ac:dyDescent="0.25">
      <c r="A42" s="17"/>
      <c r="B42" s="62" t="s">
        <v>18</v>
      </c>
      <c r="C42" s="36"/>
      <c r="D42" s="44" t="s">
        <v>53</v>
      </c>
      <c r="E42" s="38"/>
      <c r="F42" s="38"/>
      <c r="G42" s="38"/>
      <c r="H42" s="63"/>
      <c r="I42" s="21"/>
      <c r="J42" s="22"/>
    </row>
    <row r="43" spans="1:10" ht="13.2" x14ac:dyDescent="0.25">
      <c r="A43" s="17"/>
      <c r="B43" s="17"/>
      <c r="D43" s="18"/>
      <c r="E43" s="18"/>
      <c r="F43" s="18"/>
      <c r="G43" s="18"/>
      <c r="H43" s="58"/>
      <c r="I43" s="21"/>
      <c r="J43" s="22"/>
    </row>
    <row r="44" spans="1:10" ht="15.6" x14ac:dyDescent="0.25">
      <c r="A44" s="23">
        <v>6</v>
      </c>
      <c r="B44" s="97" t="s">
        <v>148</v>
      </c>
      <c r="C44" s="98"/>
      <c r="D44" s="98"/>
      <c r="E44" s="98"/>
      <c r="F44" s="98"/>
      <c r="G44" s="98"/>
      <c r="H44" s="59"/>
      <c r="I44" s="25">
        <f ca="1">IF(COUNTIFS(H45:H49,"&gt;0") &gt; 3, FLOOR((SUM(H45:H49)-MIN(H45,H46,H47,H48,H49))/4,0.0001), )</f>
        <v>4.3224999999999998</v>
      </c>
      <c r="J44" s="26">
        <f ca="1">IF(I44=0,"",RANK(I44,$I$4:$I$224,))</f>
        <v>6</v>
      </c>
    </row>
    <row r="45" spans="1:10" ht="13.2" x14ac:dyDescent="0.25">
      <c r="A45" s="17"/>
      <c r="B45" s="28">
        <v>1</v>
      </c>
      <c r="C45" s="29" t="s">
        <v>149</v>
      </c>
      <c r="D45" s="30" t="s">
        <v>10</v>
      </c>
      <c r="E45" s="60" t="s">
        <v>150</v>
      </c>
      <c r="F45" s="60" t="s">
        <v>151</v>
      </c>
      <c r="G45" s="60" t="s">
        <v>152</v>
      </c>
      <c r="H45" s="61">
        <f ca="1">IFERROR(__xludf.DUMMYFUNCTION("MAX(IF(REGEXMATCH(E45,""^\d{1},\d{2}$""),VALUE(E45),0),IF(REGEXMATCH(F45,""^\d{1},\d{2}$""),VALUE(F45),0),IF(REGEXMATCH(G45,""^\d{1},\d{2}$""),VALUE(G45),0))"),4.02)</f>
        <v>4.0199999999999996</v>
      </c>
      <c r="I45" s="21"/>
      <c r="J45" s="22"/>
    </row>
    <row r="46" spans="1:10" ht="13.2" x14ac:dyDescent="0.25">
      <c r="A46" s="17"/>
      <c r="B46" s="28">
        <v>2</v>
      </c>
      <c r="C46" s="29" t="s">
        <v>153</v>
      </c>
      <c r="D46" s="30" t="s">
        <v>10</v>
      </c>
      <c r="E46" s="60" t="s">
        <v>99</v>
      </c>
      <c r="F46" s="60" t="s">
        <v>154</v>
      </c>
      <c r="G46" s="60" t="s">
        <v>155</v>
      </c>
      <c r="H46" s="61">
        <f ca="1">IFERROR(__xludf.DUMMYFUNCTION("MAX(IF(REGEXMATCH(E46,""^\d{1},\d{2}$""),VALUE(E46),0),IF(REGEXMATCH(F46,""^\d{1},\d{2}$""),VALUE(F46),0),IF(REGEXMATCH(G46,""^\d{1},\d{2}$""),VALUE(G46),0))"),4.62)</f>
        <v>4.62</v>
      </c>
      <c r="I46" s="21"/>
      <c r="J46" s="22"/>
    </row>
    <row r="47" spans="1:10" ht="13.2" x14ac:dyDescent="0.25">
      <c r="A47" s="17"/>
      <c r="B47" s="28">
        <v>3</v>
      </c>
      <c r="C47" s="29" t="s">
        <v>156</v>
      </c>
      <c r="D47" s="30" t="s">
        <v>10</v>
      </c>
      <c r="E47" s="60" t="s">
        <v>84</v>
      </c>
      <c r="F47" s="60" t="s">
        <v>157</v>
      </c>
      <c r="G47" s="60" t="s">
        <v>158</v>
      </c>
      <c r="H47" s="61">
        <f ca="1">IFERROR(__xludf.DUMMYFUNCTION("MAX(IF(REGEXMATCH(E47,""^\d{1},\d{2}$""),VALUE(E47),0),IF(REGEXMATCH(F47,""^\d{1},\d{2}$""),VALUE(F47),0),IF(REGEXMATCH(G47,""^\d{1},\d{2}$""),VALUE(G47),0))"),3.95)</f>
        <v>3.95</v>
      </c>
      <c r="I47" s="21"/>
      <c r="J47" s="22"/>
    </row>
    <row r="48" spans="1:10" ht="13.2" x14ac:dyDescent="0.25">
      <c r="A48" s="17"/>
      <c r="B48" s="28">
        <v>4</v>
      </c>
      <c r="C48" s="29" t="s">
        <v>159</v>
      </c>
      <c r="D48" s="30" t="s">
        <v>15</v>
      </c>
      <c r="E48" s="60" t="s">
        <v>152</v>
      </c>
      <c r="F48" s="60" t="s">
        <v>160</v>
      </c>
      <c r="G48" s="60" t="s">
        <v>84</v>
      </c>
      <c r="H48" s="61">
        <f ca="1">IFERROR(__xludf.DUMMYFUNCTION("MAX(IF(REGEXMATCH(E48,""^\d{1},\d{2}$""),VALUE(E48),0),IF(REGEXMATCH(F48,""^\d{1},\d{2}$""),VALUE(F48),0),IF(REGEXMATCH(G48,""^\d{1},\d{2}$""),VALUE(G48),0))"),4.02)</f>
        <v>4.0199999999999996</v>
      </c>
      <c r="I48" s="21"/>
      <c r="J48" s="22"/>
    </row>
    <row r="49" spans="1:10" ht="13.2" x14ac:dyDescent="0.25">
      <c r="A49" s="17"/>
      <c r="B49" s="28">
        <v>5</v>
      </c>
      <c r="C49" s="29" t="s">
        <v>161</v>
      </c>
      <c r="D49" s="30" t="s">
        <v>10</v>
      </c>
      <c r="E49" s="60" t="s">
        <v>107</v>
      </c>
      <c r="F49" s="60" t="s">
        <v>94</v>
      </c>
      <c r="G49" s="60" t="s">
        <v>162</v>
      </c>
      <c r="H49" s="61">
        <f ca="1">IFERROR(__xludf.DUMMYFUNCTION("MAX(IF(REGEXMATCH(E49,""^\d{1},\d{2}$""),VALUE(E49),0),IF(REGEXMATCH(F49,""^\d{1},\d{2}$""),VALUE(F49),0),IF(REGEXMATCH(G49,""^\d{1},\d{2}$""),VALUE(G49),0))"),4.63)</f>
        <v>4.63</v>
      </c>
      <c r="I49" s="21"/>
      <c r="J49" s="22"/>
    </row>
    <row r="50" spans="1:10" ht="13.2" x14ac:dyDescent="0.25">
      <c r="A50" s="17"/>
      <c r="B50" s="62" t="s">
        <v>18</v>
      </c>
      <c r="C50" s="36"/>
      <c r="D50" s="44" t="s">
        <v>163</v>
      </c>
      <c r="E50" s="38"/>
      <c r="F50" s="38"/>
      <c r="G50" s="38"/>
      <c r="H50" s="63"/>
      <c r="I50" s="21"/>
      <c r="J50" s="22"/>
    </row>
    <row r="51" spans="1:10" ht="13.2" x14ac:dyDescent="0.25">
      <c r="A51" s="17"/>
      <c r="B51" s="17"/>
      <c r="D51" s="18"/>
      <c r="E51" s="18"/>
      <c r="F51" s="18"/>
      <c r="G51" s="18"/>
      <c r="H51" s="58"/>
      <c r="I51" s="21"/>
      <c r="J51" s="22"/>
    </row>
    <row r="52" spans="1:10" ht="15.6" x14ac:dyDescent="0.25">
      <c r="A52" s="23">
        <v>7</v>
      </c>
      <c r="B52" s="97" t="s">
        <v>37</v>
      </c>
      <c r="C52" s="98"/>
      <c r="D52" s="98"/>
      <c r="E52" s="98"/>
      <c r="F52" s="98"/>
      <c r="G52" s="98"/>
      <c r="H52" s="59"/>
      <c r="I52" s="25">
        <f ca="1">IF(COUNTIFS(H53:H57,"&gt;0") &gt; 3, FLOOR((SUM(H53:H57)-MIN(H53,H54,H55,H56,H57))/4,0.0001), )</f>
        <v>4.3075000000000001</v>
      </c>
      <c r="J52" s="26">
        <f ca="1">IF(I52=0,"",RANK(I52,$I$4:$I$224,))</f>
        <v>7</v>
      </c>
    </row>
    <row r="53" spans="1:10" ht="13.2" x14ac:dyDescent="0.25">
      <c r="A53" s="17"/>
      <c r="B53" s="28">
        <v>1</v>
      </c>
      <c r="C53" s="29" t="s">
        <v>164</v>
      </c>
      <c r="D53" s="30" t="s">
        <v>15</v>
      </c>
      <c r="E53" s="60" t="s">
        <v>165</v>
      </c>
      <c r="F53" s="60" t="s">
        <v>166</v>
      </c>
      <c r="G53" s="60" t="s">
        <v>167</v>
      </c>
      <c r="H53" s="61">
        <f ca="1">IFERROR(__xludf.DUMMYFUNCTION("MAX(IF(REGEXMATCH(E53,""^\d{1},\d{2}$""),VALUE(E53),0),IF(REGEXMATCH(F53,""^\d{1},\d{2}$""),VALUE(F53),0),IF(REGEXMATCH(G53,""^\d{1},\d{2}$""),VALUE(G53),0))"),4.23)</f>
        <v>4.2300000000000004</v>
      </c>
      <c r="I53" s="21"/>
      <c r="J53" s="22"/>
    </row>
    <row r="54" spans="1:10" ht="13.2" x14ac:dyDescent="0.25">
      <c r="A54" s="17"/>
      <c r="B54" s="28">
        <v>2</v>
      </c>
      <c r="C54" s="29" t="s">
        <v>168</v>
      </c>
      <c r="D54" s="30" t="s">
        <v>15</v>
      </c>
      <c r="E54" s="60" t="s">
        <v>169</v>
      </c>
      <c r="F54" s="60" t="s">
        <v>84</v>
      </c>
      <c r="G54" s="60" t="s">
        <v>170</v>
      </c>
      <c r="H54" s="61">
        <f ca="1">IFERROR(__xludf.DUMMYFUNCTION("MAX(IF(REGEXMATCH(E54,""^\d{1},\d{2}$""),VALUE(E54),0),IF(REGEXMATCH(F54,""^\d{1},\d{2}$""),VALUE(F54),0),IF(REGEXMATCH(G54,""^\d{1},\d{2}$""),VALUE(G54),0))"),4)</f>
        <v>4</v>
      </c>
      <c r="I54" s="21"/>
      <c r="J54" s="22"/>
    </row>
    <row r="55" spans="1:10" ht="13.2" x14ac:dyDescent="0.25">
      <c r="A55" s="17"/>
      <c r="B55" s="28">
        <v>3</v>
      </c>
      <c r="C55" s="29" t="s">
        <v>43</v>
      </c>
      <c r="D55" s="30" t="s">
        <v>41</v>
      </c>
      <c r="E55" s="60" t="s">
        <v>84</v>
      </c>
      <c r="F55" s="60" t="s">
        <v>123</v>
      </c>
      <c r="G55" s="60" t="s">
        <v>136</v>
      </c>
      <c r="H55" s="61">
        <f ca="1">IFERROR(__xludf.DUMMYFUNCTION("MAX(IF(REGEXMATCH(E55,""^\d{1},\d{2}$""),VALUE(E55),0),IF(REGEXMATCH(F55,""^\d{1},\d{2}$""),VALUE(F55),0),IF(REGEXMATCH(G55,""^\d{1},\d{2}$""),VALUE(G55),0))"),4.32)</f>
        <v>4.32</v>
      </c>
      <c r="I55" s="21"/>
      <c r="J55" s="22"/>
    </row>
    <row r="56" spans="1:10" ht="13.2" x14ac:dyDescent="0.25">
      <c r="A56" s="17"/>
      <c r="B56" s="28">
        <v>4</v>
      </c>
      <c r="C56" s="29" t="s">
        <v>39</v>
      </c>
      <c r="D56" s="30" t="s">
        <v>15</v>
      </c>
      <c r="E56" s="60" t="s">
        <v>84</v>
      </c>
      <c r="F56" s="60" t="s">
        <v>123</v>
      </c>
      <c r="G56" s="60" t="s">
        <v>84</v>
      </c>
      <c r="H56" s="61">
        <f ca="1">IFERROR(__xludf.DUMMYFUNCTION("MAX(IF(REGEXMATCH(E56,""^\d{1},\d{2}$""),VALUE(E56),0),IF(REGEXMATCH(F56,""^\d{1},\d{2}$""),VALUE(F56),0),IF(REGEXMATCH(G56,""^\d{1},\d{2}$""),VALUE(G56),0))"),4.2)</f>
        <v>4.2</v>
      </c>
      <c r="I56" s="21"/>
      <c r="J56" s="22"/>
    </row>
    <row r="57" spans="1:10" ht="13.2" x14ac:dyDescent="0.25">
      <c r="A57" s="17"/>
      <c r="B57" s="28">
        <v>5</v>
      </c>
      <c r="C57" s="29" t="s">
        <v>40</v>
      </c>
      <c r="D57" s="30" t="s">
        <v>41</v>
      </c>
      <c r="E57" s="60" t="s">
        <v>130</v>
      </c>
      <c r="F57" s="60" t="s">
        <v>88</v>
      </c>
      <c r="G57" s="60" t="s">
        <v>171</v>
      </c>
      <c r="H57" s="61">
        <f ca="1">IFERROR(__xludf.DUMMYFUNCTION("MAX(IF(REGEXMATCH(E57,""^\d{1},\d{2}$""),VALUE(E57),0),IF(REGEXMATCH(F57,""^\d{1},\d{2}$""),VALUE(F57),0),IF(REGEXMATCH(G57,""^\d{1},\d{2}$""),VALUE(G57),0))"),4.48)</f>
        <v>4.4800000000000004</v>
      </c>
      <c r="I57" s="21"/>
      <c r="J57" s="22"/>
    </row>
    <row r="58" spans="1:10" ht="13.2" x14ac:dyDescent="0.25">
      <c r="A58" s="17"/>
      <c r="B58" s="62" t="s">
        <v>18</v>
      </c>
      <c r="C58" s="36"/>
      <c r="D58" s="44" t="s">
        <v>45</v>
      </c>
      <c r="E58" s="38"/>
      <c r="F58" s="38"/>
      <c r="G58" s="38"/>
      <c r="H58" s="63"/>
      <c r="I58" s="21"/>
      <c r="J58" s="22"/>
    </row>
    <row r="59" spans="1:10" ht="13.2" x14ac:dyDescent="0.25">
      <c r="A59" s="17"/>
      <c r="B59" s="17"/>
      <c r="D59" s="18"/>
      <c r="E59" s="18"/>
      <c r="F59" s="18"/>
      <c r="G59" s="18"/>
      <c r="H59" s="58"/>
      <c r="I59" s="21"/>
      <c r="J59" s="22"/>
    </row>
    <row r="60" spans="1:10" ht="15.6" x14ac:dyDescent="0.25">
      <c r="A60" s="23">
        <v>8</v>
      </c>
      <c r="B60" s="97" t="s">
        <v>172</v>
      </c>
      <c r="C60" s="98"/>
      <c r="D60" s="98"/>
      <c r="E60" s="98"/>
      <c r="F60" s="98"/>
      <c r="G60" s="98"/>
      <c r="H60" s="59"/>
      <c r="I60" s="25">
        <f ca="1">IF(COUNTIFS(H61:H65,"&gt;0") &gt; 3, FLOOR((SUM(H61:H65)-MIN(H61,H62,H63,H64,H65))/4,0.0001), )</f>
        <v>4.29</v>
      </c>
      <c r="J60" s="26">
        <f ca="1">IF(I60=0,"",RANK(I60,$I$4:$I$224,))</f>
        <v>8</v>
      </c>
    </row>
    <row r="61" spans="1:10" ht="13.2" x14ac:dyDescent="0.25">
      <c r="A61" s="17"/>
      <c r="B61" s="28">
        <v>1</v>
      </c>
      <c r="C61" s="29" t="s">
        <v>9</v>
      </c>
      <c r="D61" s="30" t="s">
        <v>10</v>
      </c>
      <c r="E61" s="60" t="s">
        <v>173</v>
      </c>
      <c r="F61" s="60" t="s">
        <v>174</v>
      </c>
      <c r="G61" s="60" t="s">
        <v>175</v>
      </c>
      <c r="H61" s="61">
        <f ca="1">IFERROR(__xludf.DUMMYFUNCTION("MAX(IF(REGEXMATCH(E61,""^\d{1},\d{2}$""),VALUE(E61),0),IF(REGEXMATCH(F61,""^\d{1},\d{2}$""),VALUE(F61),0),IF(REGEXMATCH(G61,""^\d{1},\d{2}$""),VALUE(G61),0))"),4.16)</f>
        <v>4.16</v>
      </c>
      <c r="I61" s="21"/>
      <c r="J61" s="22"/>
    </row>
    <row r="62" spans="1:10" ht="13.2" x14ac:dyDescent="0.25">
      <c r="A62" s="17"/>
      <c r="B62" s="28">
        <v>2</v>
      </c>
      <c r="C62" s="29" t="s">
        <v>12</v>
      </c>
      <c r="D62" s="30" t="s">
        <v>10</v>
      </c>
      <c r="E62" s="60" t="s">
        <v>152</v>
      </c>
      <c r="F62" s="60" t="s">
        <v>84</v>
      </c>
      <c r="G62" s="60" t="s">
        <v>144</v>
      </c>
      <c r="H62" s="61">
        <f ca="1">IFERROR(__xludf.DUMMYFUNCTION("MAX(IF(REGEXMATCH(E62,""^\d{1},\d{2}$""),VALUE(E62),0),IF(REGEXMATCH(F62,""^\d{1},\d{2}$""),VALUE(F62),0),IF(REGEXMATCH(G62,""^\d{1},\d{2}$""),VALUE(G62),0))"),4.11)</f>
        <v>4.1100000000000003</v>
      </c>
      <c r="I62" s="21"/>
      <c r="J62" s="22"/>
    </row>
    <row r="63" spans="1:10" ht="13.2" x14ac:dyDescent="0.25">
      <c r="A63" s="17"/>
      <c r="B63" s="28">
        <v>3</v>
      </c>
      <c r="C63" s="29" t="s">
        <v>176</v>
      </c>
      <c r="D63" s="30" t="s">
        <v>15</v>
      </c>
      <c r="E63" s="60" t="s">
        <v>84</v>
      </c>
      <c r="F63" s="60" t="s">
        <v>177</v>
      </c>
      <c r="G63" s="60" t="s">
        <v>84</v>
      </c>
      <c r="H63" s="61">
        <f ca="1">IFERROR(__xludf.DUMMYFUNCTION("MAX(IF(REGEXMATCH(E63,""^\d{1},\d{2}$""),VALUE(E63),0),IF(REGEXMATCH(F63,""^\d{1},\d{2}$""),VALUE(F63),0),IF(REGEXMATCH(G63,""^\d{1},\d{2}$""),VALUE(G63),0))"),4.35)</f>
        <v>4.3499999999999996</v>
      </c>
      <c r="I63" s="21"/>
      <c r="J63" s="22"/>
    </row>
    <row r="64" spans="1:10" ht="13.2" x14ac:dyDescent="0.25">
      <c r="A64" s="17"/>
      <c r="B64" s="28">
        <v>4</v>
      </c>
      <c r="C64" s="29" t="s">
        <v>178</v>
      </c>
      <c r="D64" s="30" t="s">
        <v>15</v>
      </c>
      <c r="E64" s="60" t="s">
        <v>84</v>
      </c>
      <c r="F64" s="60" t="s">
        <v>84</v>
      </c>
      <c r="G64" s="60" t="s">
        <v>179</v>
      </c>
      <c r="H64" s="61">
        <f ca="1">IFERROR(__xludf.DUMMYFUNCTION("MAX(IF(REGEXMATCH(E64,""^\d{1},\d{2}$""),VALUE(E64),0),IF(REGEXMATCH(F64,""^\d{1},\d{2}$""),VALUE(F64),0),IF(REGEXMATCH(G64,""^\d{1},\d{2}$""),VALUE(G64),0))"),4.54)</f>
        <v>4.54</v>
      </c>
      <c r="I64" s="21"/>
      <c r="J64" s="22"/>
    </row>
    <row r="65" spans="1:10" ht="13.2" x14ac:dyDescent="0.25">
      <c r="A65" s="17"/>
      <c r="B65" s="28">
        <v>5</v>
      </c>
      <c r="C65" s="29"/>
      <c r="D65" s="30"/>
      <c r="E65" s="60"/>
      <c r="F65" s="60"/>
      <c r="G65" s="60"/>
      <c r="H65" s="61">
        <f ca="1">IFERROR(__xludf.DUMMYFUNCTION("MAX(IF(REGEXMATCH(E65,""^\d{1},\d{2}$""),VALUE(E65),0),IF(REGEXMATCH(F65,""^\d{1},\d{2}$""),VALUE(F65),0),IF(REGEXMATCH(G65,""^\d{1},\d{2}$""),VALUE(G65),0))"),0)</f>
        <v>0</v>
      </c>
      <c r="I65" s="21"/>
      <c r="J65" s="22"/>
    </row>
    <row r="66" spans="1:10" ht="13.2" x14ac:dyDescent="0.25">
      <c r="A66" s="17"/>
      <c r="B66" s="62" t="s">
        <v>18</v>
      </c>
      <c r="C66" s="36"/>
      <c r="D66" s="44" t="s">
        <v>19</v>
      </c>
      <c r="E66" s="38"/>
      <c r="F66" s="38"/>
      <c r="G66" s="38"/>
      <c r="H66" s="63"/>
      <c r="I66" s="21"/>
      <c r="J66" s="22"/>
    </row>
    <row r="67" spans="1:10" ht="13.2" x14ac:dyDescent="0.25">
      <c r="A67" s="17"/>
      <c r="B67" s="17"/>
      <c r="D67" s="18"/>
      <c r="E67" s="18"/>
      <c r="F67" s="18"/>
      <c r="G67" s="18"/>
      <c r="H67" s="58"/>
      <c r="I67" s="21"/>
      <c r="J67" s="22"/>
    </row>
    <row r="68" spans="1:10" ht="15.6" x14ac:dyDescent="0.25">
      <c r="A68" s="23">
        <v>9</v>
      </c>
      <c r="B68" s="97" t="s">
        <v>180</v>
      </c>
      <c r="C68" s="98"/>
      <c r="D68" s="98"/>
      <c r="E68" s="98"/>
      <c r="F68" s="98"/>
      <c r="G68" s="98"/>
      <c r="H68" s="59"/>
      <c r="I68" s="25">
        <f ca="1">IF(COUNTIFS(H69:H73,"&gt;0") &gt; 3, FLOOR((SUM(H69:H73)-MIN(H69,H70,H71,H72,H73))/4,0.0001), )</f>
        <v>4.2025000000000006</v>
      </c>
      <c r="J68" s="26">
        <f ca="1">IF(I68=0,"",RANK(I68,$I$4:$I$224,))</f>
        <v>9</v>
      </c>
    </row>
    <row r="69" spans="1:10" ht="13.2" x14ac:dyDescent="0.25">
      <c r="A69" s="17"/>
      <c r="B69" s="28">
        <v>1</v>
      </c>
      <c r="C69" s="29" t="s">
        <v>181</v>
      </c>
      <c r="D69" s="30" t="s">
        <v>10</v>
      </c>
      <c r="E69" s="60" t="s">
        <v>84</v>
      </c>
      <c r="F69" s="60" t="s">
        <v>84</v>
      </c>
      <c r="G69" s="60" t="s">
        <v>84</v>
      </c>
      <c r="H69" s="61">
        <f ca="1">IFERROR(__xludf.DUMMYFUNCTION("MAX(IF(REGEXMATCH(E69,""^\d{1},\d{2}$""),VALUE(E69),0),IF(REGEXMATCH(F69,""^\d{1},\d{2}$""),VALUE(F69),0),IF(REGEXMATCH(G69,""^\d{1},\d{2}$""),VALUE(G69),0))"),0)</f>
        <v>0</v>
      </c>
      <c r="I69" s="21"/>
      <c r="J69" s="22"/>
    </row>
    <row r="70" spans="1:10" ht="13.2" x14ac:dyDescent="0.25">
      <c r="A70" s="17"/>
      <c r="B70" s="28">
        <v>2</v>
      </c>
      <c r="C70" s="29" t="s">
        <v>182</v>
      </c>
      <c r="D70" s="30" t="s">
        <v>10</v>
      </c>
      <c r="E70" s="60" t="s">
        <v>112</v>
      </c>
      <c r="F70" s="60" t="s">
        <v>183</v>
      </c>
      <c r="G70" s="60" t="s">
        <v>84</v>
      </c>
      <c r="H70" s="61">
        <f ca="1">IFERROR(__xludf.DUMMYFUNCTION("MAX(IF(REGEXMATCH(E70,""^\d{1},\d{2}$""),VALUE(E70),0),IF(REGEXMATCH(F70,""^\d{1},\d{2}$""),VALUE(F70),0),IF(REGEXMATCH(G70,""^\d{1},\d{2}$""),VALUE(G70),0))"),4.95)</f>
        <v>4.95</v>
      </c>
      <c r="I70" s="21"/>
      <c r="J70" s="22"/>
    </row>
    <row r="71" spans="1:10" ht="13.2" x14ac:dyDescent="0.25">
      <c r="A71" s="17"/>
      <c r="B71" s="28">
        <v>3</v>
      </c>
      <c r="C71" s="29" t="s">
        <v>184</v>
      </c>
      <c r="D71" s="30" t="s">
        <v>10</v>
      </c>
      <c r="E71" s="60" t="s">
        <v>120</v>
      </c>
      <c r="F71" s="60" t="s">
        <v>84</v>
      </c>
      <c r="G71" s="60" t="s">
        <v>185</v>
      </c>
      <c r="H71" s="61">
        <f ca="1">IFERROR(__xludf.DUMMYFUNCTION("MAX(IF(REGEXMATCH(E71,""^\d{1},\d{2}$""),VALUE(E71),0),IF(REGEXMATCH(F71,""^\d{1},\d{2}$""),VALUE(F71),0),IF(REGEXMATCH(G71,""^\d{1},\d{2}$""),VALUE(G71),0))"),4.1)</f>
        <v>4.0999999999999996</v>
      </c>
      <c r="I71" s="21"/>
      <c r="J71" s="22"/>
    </row>
    <row r="72" spans="1:10" ht="13.2" x14ac:dyDescent="0.25">
      <c r="A72" s="17"/>
      <c r="B72" s="28">
        <v>4</v>
      </c>
      <c r="C72" s="29" t="s">
        <v>186</v>
      </c>
      <c r="D72" s="30" t="s">
        <v>15</v>
      </c>
      <c r="E72" s="60" t="s">
        <v>151</v>
      </c>
      <c r="F72" s="60" t="s">
        <v>187</v>
      </c>
      <c r="G72" s="60" t="s">
        <v>188</v>
      </c>
      <c r="H72" s="61">
        <f ca="1">IFERROR(__xludf.DUMMYFUNCTION("MAX(IF(REGEXMATCH(E72,""^\d{1},\d{2}$""),VALUE(E72),0),IF(REGEXMATCH(F72,""^\d{1},\d{2}$""),VALUE(F72),0),IF(REGEXMATCH(G72,""^\d{1},\d{2}$""),VALUE(G72),0))"),3.68)</f>
        <v>3.68</v>
      </c>
      <c r="I72" s="21"/>
      <c r="J72" s="22"/>
    </row>
    <row r="73" spans="1:10" ht="13.2" x14ac:dyDescent="0.25">
      <c r="A73" s="17"/>
      <c r="B73" s="28">
        <v>5</v>
      </c>
      <c r="C73" s="29" t="s">
        <v>189</v>
      </c>
      <c r="D73" s="30" t="s">
        <v>10</v>
      </c>
      <c r="E73" s="60" t="s">
        <v>116</v>
      </c>
      <c r="F73" s="60" t="s">
        <v>116</v>
      </c>
      <c r="G73" s="60" t="s">
        <v>116</v>
      </c>
      <c r="H73" s="61">
        <f ca="1">IFERROR(__xludf.DUMMYFUNCTION("MAX(IF(REGEXMATCH(E73,""^\d{1},\d{2}$""),VALUE(E73),0),IF(REGEXMATCH(F73,""^\d{1},\d{2}$""),VALUE(F73),0),IF(REGEXMATCH(G73,""^\d{1},\d{2}$""),VALUE(G73),0))"),4.08)</f>
        <v>4.08</v>
      </c>
      <c r="I73" s="21"/>
      <c r="J73" s="22"/>
    </row>
    <row r="74" spans="1:10" ht="13.2" x14ac:dyDescent="0.25">
      <c r="A74" s="17"/>
      <c r="B74" s="62" t="s">
        <v>18</v>
      </c>
      <c r="C74" s="36"/>
      <c r="D74" s="44" t="s">
        <v>190</v>
      </c>
      <c r="E74" s="38"/>
      <c r="F74" s="38"/>
      <c r="G74" s="38"/>
      <c r="H74" s="63"/>
      <c r="I74" s="21"/>
      <c r="J74" s="22"/>
    </row>
    <row r="75" spans="1:10" ht="13.2" x14ac:dyDescent="0.25">
      <c r="A75" s="17"/>
      <c r="B75" s="17"/>
      <c r="D75" s="18"/>
      <c r="E75" s="18"/>
      <c r="F75" s="18"/>
      <c r="G75" s="18"/>
      <c r="H75" s="58"/>
      <c r="I75" s="21"/>
      <c r="J75" s="22"/>
    </row>
    <row r="76" spans="1:10" ht="15.6" x14ac:dyDescent="0.25">
      <c r="A76" s="23">
        <v>10</v>
      </c>
      <c r="B76" s="97" t="s">
        <v>191</v>
      </c>
      <c r="C76" s="98"/>
      <c r="D76" s="98"/>
      <c r="E76" s="98"/>
      <c r="F76" s="98"/>
      <c r="G76" s="98"/>
      <c r="H76" s="59"/>
      <c r="I76" s="25">
        <f ca="1">IF(COUNTIFS(H77:H81,"&gt;0") &gt; 3, FLOOR((SUM(H77:H81)-MIN(H77,H78,H79,H80,H81))/4,0.0001), )</f>
        <v>4.1924999999999999</v>
      </c>
      <c r="J76" s="26">
        <f ca="1">IF(I76=0,"",RANK(I76,$I$4:$I$224,))</f>
        <v>10</v>
      </c>
    </row>
    <row r="77" spans="1:10" ht="13.2" x14ac:dyDescent="0.25">
      <c r="A77" s="17"/>
      <c r="B77" s="28">
        <v>1</v>
      </c>
      <c r="C77" s="29" t="s">
        <v>192</v>
      </c>
      <c r="D77" s="30" t="s">
        <v>41</v>
      </c>
      <c r="E77" s="60" t="s">
        <v>84</v>
      </c>
      <c r="F77" s="60" t="s">
        <v>193</v>
      </c>
      <c r="G77" s="60" t="s">
        <v>84</v>
      </c>
      <c r="H77" s="61">
        <f ca="1">IFERROR(__xludf.DUMMYFUNCTION("MAX(IF(REGEXMATCH(E77,""^\d{1},\d{2}$""),VALUE(E77),0),IF(REGEXMATCH(F77,""^\d{1},\d{2}$""),VALUE(F77),0),IF(REGEXMATCH(G77,""^\d{1},\d{2}$""),VALUE(G77),0))"),3.27)</f>
        <v>3.27</v>
      </c>
      <c r="I77" s="21"/>
      <c r="J77" s="22"/>
    </row>
    <row r="78" spans="1:10" ht="13.2" x14ac:dyDescent="0.25">
      <c r="A78" s="17"/>
      <c r="B78" s="28">
        <v>2</v>
      </c>
      <c r="C78" s="29" t="s">
        <v>14</v>
      </c>
      <c r="D78" s="30" t="s">
        <v>15</v>
      </c>
      <c r="E78" s="60" t="s">
        <v>194</v>
      </c>
      <c r="F78" s="60" t="s">
        <v>195</v>
      </c>
      <c r="G78" s="60" t="s">
        <v>136</v>
      </c>
      <c r="H78" s="61">
        <f ca="1">IFERROR(__xludf.DUMMYFUNCTION("MAX(IF(REGEXMATCH(E78,""^\d{1},\d{2}$""),VALUE(E78),0),IF(REGEXMATCH(F78,""^\d{1},\d{2}$""),VALUE(F78),0),IF(REGEXMATCH(G78,""^\d{1},\d{2}$""),VALUE(G78),0))"),4.32)</f>
        <v>4.32</v>
      </c>
      <c r="I78" s="21"/>
      <c r="J78" s="22"/>
    </row>
    <row r="79" spans="1:10" ht="13.2" x14ac:dyDescent="0.25">
      <c r="A79" s="17"/>
      <c r="B79" s="28">
        <v>3</v>
      </c>
      <c r="C79" s="29" t="s">
        <v>196</v>
      </c>
      <c r="D79" s="30" t="s">
        <v>10</v>
      </c>
      <c r="E79" s="60" t="s">
        <v>197</v>
      </c>
      <c r="F79" s="60" t="s">
        <v>198</v>
      </c>
      <c r="G79" s="60" t="s">
        <v>197</v>
      </c>
      <c r="H79" s="61">
        <f ca="1">IFERROR(__xludf.DUMMYFUNCTION("MAX(IF(REGEXMATCH(E79,""^\d{1},\d{2}$""),VALUE(E79),0),IF(REGEXMATCH(F79,""^\d{1},\d{2}$""),VALUE(F79),0),IF(REGEXMATCH(G79,""^\d{1},\d{2}$""),VALUE(G79),0))"),3.65)</f>
        <v>3.65</v>
      </c>
      <c r="I79" s="21"/>
      <c r="J79" s="22"/>
    </row>
    <row r="80" spans="1:10" ht="13.2" x14ac:dyDescent="0.25">
      <c r="A80" s="17"/>
      <c r="B80" s="28">
        <v>4</v>
      </c>
      <c r="C80" s="29" t="s">
        <v>17</v>
      </c>
      <c r="D80" s="30" t="s">
        <v>10</v>
      </c>
      <c r="E80" s="60" t="s">
        <v>188</v>
      </c>
      <c r="F80" s="60" t="s">
        <v>106</v>
      </c>
      <c r="G80" s="60" t="s">
        <v>171</v>
      </c>
      <c r="H80" s="61">
        <f ca="1">IFERROR(__xludf.DUMMYFUNCTION("MAX(IF(REGEXMATCH(E80,""^\d{1},\d{2}$""),VALUE(E80),0),IF(REGEXMATCH(F80,""^\d{1},\d{2}$""),VALUE(F80),0),IF(REGEXMATCH(G80,""^\d{1},\d{2}$""),VALUE(G80),0))"),4.36)</f>
        <v>4.3600000000000003</v>
      </c>
      <c r="I80" s="21"/>
      <c r="J80" s="22"/>
    </row>
    <row r="81" spans="1:10" ht="13.2" x14ac:dyDescent="0.25">
      <c r="A81" s="17"/>
      <c r="B81" s="28">
        <v>5</v>
      </c>
      <c r="C81" s="29" t="s">
        <v>199</v>
      </c>
      <c r="D81" s="30" t="s">
        <v>15</v>
      </c>
      <c r="E81" s="60" t="s">
        <v>84</v>
      </c>
      <c r="F81" s="60" t="s">
        <v>177</v>
      </c>
      <c r="G81" s="60" t="s">
        <v>94</v>
      </c>
      <c r="H81" s="61">
        <f ca="1">IFERROR(__xludf.DUMMYFUNCTION("MAX(IF(REGEXMATCH(E81,""^\d{1},\d{2}$""),VALUE(E81),0),IF(REGEXMATCH(F81,""^\d{1},\d{2}$""),VALUE(F81),0),IF(REGEXMATCH(G81,""^\d{1},\d{2}$""),VALUE(G81),0))"),4.44)</f>
        <v>4.4400000000000004</v>
      </c>
      <c r="I81" s="21"/>
      <c r="J81" s="22"/>
    </row>
    <row r="82" spans="1:10" ht="13.2" x14ac:dyDescent="0.25">
      <c r="A82" s="17"/>
      <c r="B82" s="62" t="s">
        <v>18</v>
      </c>
      <c r="C82" s="36"/>
      <c r="D82" s="44" t="s">
        <v>19</v>
      </c>
      <c r="E82" s="38"/>
      <c r="F82" s="38"/>
      <c r="G82" s="38"/>
      <c r="H82" s="63"/>
      <c r="I82" s="21"/>
      <c r="J82" s="22"/>
    </row>
    <row r="83" spans="1:10" ht="13.2" x14ac:dyDescent="0.25">
      <c r="A83" s="17"/>
      <c r="B83" s="17"/>
      <c r="D83" s="18"/>
      <c r="E83" s="18"/>
      <c r="F83" s="18"/>
      <c r="G83" s="18"/>
      <c r="H83" s="58"/>
      <c r="I83" s="21"/>
      <c r="J83" s="22"/>
    </row>
    <row r="84" spans="1:10" ht="15.6" x14ac:dyDescent="0.25">
      <c r="A84" s="23">
        <v>11</v>
      </c>
      <c r="B84" s="97" t="s">
        <v>54</v>
      </c>
      <c r="C84" s="98"/>
      <c r="D84" s="98"/>
      <c r="E84" s="98"/>
      <c r="F84" s="98"/>
      <c r="G84" s="98"/>
      <c r="H84" s="59"/>
      <c r="I84" s="25">
        <f ca="1">IF(COUNTIFS(H85:H89,"&gt;0") &gt; 3, FLOOR((SUM(H85:H89)-MIN(H85,H86,H87,H88,H89))/4,0.0001), )</f>
        <v>3.835</v>
      </c>
      <c r="J84" s="26">
        <f ca="1">IF(I84=0,"",RANK(I84,$I$4:$I$224,))</f>
        <v>11</v>
      </c>
    </row>
    <row r="85" spans="1:10" ht="13.2" x14ac:dyDescent="0.25">
      <c r="A85" s="17"/>
      <c r="B85" s="28">
        <v>1</v>
      </c>
      <c r="C85" s="29" t="s">
        <v>55</v>
      </c>
      <c r="D85" s="30" t="s">
        <v>41</v>
      </c>
      <c r="E85" s="60" t="s">
        <v>100</v>
      </c>
      <c r="F85" s="60" t="s">
        <v>84</v>
      </c>
      <c r="G85" s="60" t="s">
        <v>200</v>
      </c>
      <c r="H85" s="61">
        <f ca="1">IFERROR(__xludf.DUMMYFUNCTION("MAX(IF(REGEXMATCH(E85,""^\d{1},\d{2}$""),VALUE(E85),0),IF(REGEXMATCH(F85,""^\d{1},\d{2}$""),VALUE(F85),0),IF(REGEXMATCH(G85,""^\d{1},\d{2}$""),VALUE(G85),0))"),4.52)</f>
        <v>4.5199999999999996</v>
      </c>
      <c r="I85" s="21"/>
      <c r="J85" s="22"/>
    </row>
    <row r="86" spans="1:10" ht="13.2" x14ac:dyDescent="0.25">
      <c r="A86" s="17"/>
      <c r="B86" s="28">
        <v>2</v>
      </c>
      <c r="C86" s="29" t="s">
        <v>201</v>
      </c>
      <c r="D86" s="30" t="s">
        <v>15</v>
      </c>
      <c r="E86" s="60" t="s">
        <v>202</v>
      </c>
      <c r="F86" s="60" t="s">
        <v>173</v>
      </c>
      <c r="G86" s="60" t="s">
        <v>203</v>
      </c>
      <c r="H86" s="61">
        <f ca="1">IFERROR(__xludf.DUMMYFUNCTION("MAX(IF(REGEXMATCH(E86,""^\d{1},\d{2}$""),VALUE(E86),0),IF(REGEXMATCH(F86,""^\d{1},\d{2}$""),VALUE(F86),0),IF(REGEXMATCH(G86,""^\d{1},\d{2}$""),VALUE(G86),0))"),3.85)</f>
        <v>3.85</v>
      </c>
      <c r="I86" s="21"/>
      <c r="J86" s="22"/>
    </row>
    <row r="87" spans="1:10" ht="13.2" x14ac:dyDescent="0.25">
      <c r="A87" s="17"/>
      <c r="B87" s="28">
        <v>3</v>
      </c>
      <c r="C87" s="29" t="s">
        <v>204</v>
      </c>
      <c r="D87" s="30" t="s">
        <v>10</v>
      </c>
      <c r="E87" s="60" t="s">
        <v>157</v>
      </c>
      <c r="F87" s="60" t="s">
        <v>205</v>
      </c>
      <c r="G87" s="60" t="s">
        <v>206</v>
      </c>
      <c r="H87" s="61">
        <f ca="1">IFERROR(__xludf.DUMMYFUNCTION("MAX(IF(REGEXMATCH(E87,""^\d{1},\d{2}$""),VALUE(E87),0),IF(REGEXMATCH(F87,""^\d{1},\d{2}$""),VALUE(F87),0),IF(REGEXMATCH(G87,""^\d{1},\d{2}$""),VALUE(G87),0))"),3.67)</f>
        <v>3.67</v>
      </c>
      <c r="I87" s="21"/>
      <c r="J87" s="22"/>
    </row>
    <row r="88" spans="1:10" ht="13.2" x14ac:dyDescent="0.25">
      <c r="A88" s="17"/>
      <c r="B88" s="28">
        <v>4</v>
      </c>
      <c r="C88" s="29" t="s">
        <v>207</v>
      </c>
      <c r="D88" s="30" t="s">
        <v>41</v>
      </c>
      <c r="E88" s="60" t="s">
        <v>208</v>
      </c>
      <c r="F88" s="60" t="s">
        <v>84</v>
      </c>
      <c r="G88" s="60" t="s">
        <v>205</v>
      </c>
      <c r="H88" s="61">
        <f ca="1">IFERROR(__xludf.DUMMYFUNCTION("MAX(IF(REGEXMATCH(E88,""^\d{1},\d{2}$""),VALUE(E88),0),IF(REGEXMATCH(F88,""^\d{1},\d{2}$""),VALUE(F88),0),IF(REGEXMATCH(G88,""^\d{1},\d{2}$""),VALUE(G88),0))"),3.3)</f>
        <v>3.3</v>
      </c>
      <c r="I88" s="21"/>
      <c r="J88" s="22"/>
    </row>
    <row r="89" spans="1:10" ht="13.2" x14ac:dyDescent="0.25">
      <c r="A89" s="17"/>
      <c r="B89" s="28">
        <v>5</v>
      </c>
      <c r="C89" s="29"/>
      <c r="D89" s="30"/>
      <c r="E89" s="60"/>
      <c r="F89" s="60"/>
      <c r="G89" s="60"/>
      <c r="H89" s="61">
        <f ca="1">IFERROR(__xludf.DUMMYFUNCTION("MAX(IF(REGEXMATCH(E89,""^\d{1},\d{2}$""),VALUE(E89),0),IF(REGEXMATCH(F89,""^\d{1},\d{2}$""),VALUE(F89),0),IF(REGEXMATCH(G89,""^\d{1},\d{2}$""),VALUE(G89),0))"),0)</f>
        <v>0</v>
      </c>
      <c r="I89" s="21"/>
      <c r="J89" s="22"/>
    </row>
    <row r="90" spans="1:10" ht="13.2" x14ac:dyDescent="0.25">
      <c r="A90" s="17"/>
      <c r="B90" s="62" t="s">
        <v>18</v>
      </c>
      <c r="C90" s="36"/>
      <c r="D90" s="44" t="s">
        <v>61</v>
      </c>
      <c r="E90" s="38"/>
      <c r="F90" s="38"/>
      <c r="G90" s="38"/>
      <c r="H90" s="63"/>
      <c r="I90" s="21"/>
      <c r="J90" s="22"/>
    </row>
    <row r="91" spans="1:10" ht="13.2" x14ac:dyDescent="0.25">
      <c r="A91" s="17"/>
      <c r="B91" s="17"/>
      <c r="D91" s="18"/>
      <c r="E91" s="18"/>
      <c r="F91" s="18"/>
      <c r="G91" s="18"/>
      <c r="H91" s="58"/>
      <c r="I91" s="21"/>
      <c r="J91" s="22"/>
    </row>
    <row r="92" spans="1:10" ht="15.6" x14ac:dyDescent="0.25">
      <c r="A92" s="23">
        <v>12</v>
      </c>
      <c r="B92" s="97" t="s">
        <v>209</v>
      </c>
      <c r="C92" s="98"/>
      <c r="D92" s="98"/>
      <c r="E92" s="98"/>
      <c r="F92" s="98"/>
      <c r="G92" s="98"/>
      <c r="H92" s="59"/>
      <c r="I92" s="25">
        <f ca="1">IF(COUNTIFS(H93:H97,"&gt;0") &gt; 3, FLOOR((SUM(H93:H97)-MIN(H93,H94,H95,H96,H97))/4,0.0001), )</f>
        <v>3.6925000000000003</v>
      </c>
      <c r="J92" s="26">
        <f ca="1">IF(I92=0,"",RANK(I92,$I$4:$I$224,))</f>
        <v>12</v>
      </c>
    </row>
    <row r="93" spans="1:10" ht="13.2" x14ac:dyDescent="0.25">
      <c r="A93" s="17"/>
      <c r="B93" s="28">
        <v>1</v>
      </c>
      <c r="C93" s="29" t="s">
        <v>210</v>
      </c>
      <c r="D93" s="30" t="s">
        <v>41</v>
      </c>
      <c r="E93" s="60" t="s">
        <v>211</v>
      </c>
      <c r="F93" s="60" t="s">
        <v>84</v>
      </c>
      <c r="G93" s="60" t="s">
        <v>212</v>
      </c>
      <c r="H93" s="61">
        <f ca="1">IFERROR(__xludf.DUMMYFUNCTION("MAX(IF(REGEXMATCH(E93,""^\d{1},\d{2}$""),VALUE(E93),0),IF(REGEXMATCH(F93,""^\d{1},\d{2}$""),VALUE(F93),0),IF(REGEXMATCH(G93,""^\d{1},\d{2}$""),VALUE(G93),0))"),3.4)</f>
        <v>3.4</v>
      </c>
      <c r="I93" s="21"/>
      <c r="J93" s="22"/>
    </row>
    <row r="94" spans="1:10" ht="13.2" x14ac:dyDescent="0.25">
      <c r="A94" s="17"/>
      <c r="B94" s="28">
        <v>2</v>
      </c>
      <c r="C94" s="29" t="s">
        <v>213</v>
      </c>
      <c r="D94" s="30" t="s">
        <v>41</v>
      </c>
      <c r="E94" s="60" t="s">
        <v>84</v>
      </c>
      <c r="F94" s="60" t="s">
        <v>197</v>
      </c>
      <c r="G94" s="60" t="s">
        <v>84</v>
      </c>
      <c r="H94" s="61">
        <f ca="1">IFERROR(__xludf.DUMMYFUNCTION("MAX(IF(REGEXMATCH(E94,""^\d{1},\d{2}$""),VALUE(E94),0),IF(REGEXMATCH(F94,""^\d{1},\d{2}$""),VALUE(F94),0),IF(REGEXMATCH(G94,""^\d{1},\d{2}$""),VALUE(G94),0))"),3.45)</f>
        <v>3.45</v>
      </c>
      <c r="I94" s="21"/>
      <c r="J94" s="22"/>
    </row>
    <row r="95" spans="1:10" ht="13.2" x14ac:dyDescent="0.25">
      <c r="A95" s="17"/>
      <c r="B95" s="28">
        <v>3</v>
      </c>
      <c r="C95" s="29" t="s">
        <v>214</v>
      </c>
      <c r="D95" s="30" t="s">
        <v>15</v>
      </c>
      <c r="E95" s="60" t="s">
        <v>84</v>
      </c>
      <c r="F95" s="60" t="s">
        <v>84</v>
      </c>
      <c r="G95" s="60" t="s">
        <v>215</v>
      </c>
      <c r="H95" s="61">
        <f ca="1">IFERROR(__xludf.DUMMYFUNCTION("MAX(IF(REGEXMATCH(E95,""^\d{1},\d{2}$""),VALUE(E95),0),IF(REGEXMATCH(F95,""^\d{1},\d{2}$""),VALUE(F95),0),IF(REGEXMATCH(G95,""^\d{1},\d{2}$""),VALUE(G95),0))"),3.48)</f>
        <v>3.48</v>
      </c>
      <c r="I95" s="21"/>
      <c r="J95" s="22"/>
    </row>
    <row r="96" spans="1:10" ht="13.2" x14ac:dyDescent="0.25">
      <c r="A96" s="17"/>
      <c r="B96" s="28">
        <v>4</v>
      </c>
      <c r="C96" s="29" t="s">
        <v>216</v>
      </c>
      <c r="D96" s="30" t="s">
        <v>15</v>
      </c>
      <c r="E96" s="60" t="s">
        <v>84</v>
      </c>
      <c r="F96" s="60" t="s">
        <v>84</v>
      </c>
      <c r="G96" s="60" t="s">
        <v>84</v>
      </c>
      <c r="H96" s="61">
        <f ca="1">IFERROR(__xludf.DUMMYFUNCTION("MAX(IF(REGEXMATCH(E96,""^\d{1},\d{2}$""),VALUE(E96),0),IF(REGEXMATCH(F96,""^\d{1},\d{2}$""),VALUE(F96),0),IF(REGEXMATCH(G96,""^\d{1},\d{2}$""),VALUE(G96),0))"),0)</f>
        <v>0</v>
      </c>
      <c r="I96" s="21"/>
      <c r="J96" s="22"/>
    </row>
    <row r="97" spans="1:10" ht="13.2" x14ac:dyDescent="0.25">
      <c r="A97" s="17"/>
      <c r="B97" s="28">
        <v>5</v>
      </c>
      <c r="C97" s="29" t="s">
        <v>217</v>
      </c>
      <c r="D97" s="30" t="s">
        <v>15</v>
      </c>
      <c r="E97" s="60" t="s">
        <v>94</v>
      </c>
      <c r="F97" s="60" t="s">
        <v>84</v>
      </c>
      <c r="G97" s="60" t="s">
        <v>84</v>
      </c>
      <c r="H97" s="61">
        <f ca="1">IFERROR(__xludf.DUMMYFUNCTION("MAX(IF(REGEXMATCH(E97,""^\d{1},\d{2}$""),VALUE(E97),0),IF(REGEXMATCH(F97,""^\d{1},\d{2}$""),VALUE(F97),0),IF(REGEXMATCH(G97,""^\d{1},\d{2}$""),VALUE(G97),0))"),4.44)</f>
        <v>4.4400000000000004</v>
      </c>
      <c r="I97" s="21"/>
      <c r="J97" s="22"/>
    </row>
    <row r="98" spans="1:10" ht="13.2" x14ac:dyDescent="0.25">
      <c r="A98" s="17"/>
      <c r="B98" s="62" t="s">
        <v>18</v>
      </c>
      <c r="C98" s="36"/>
      <c r="D98" s="44" t="s">
        <v>218</v>
      </c>
      <c r="E98" s="38"/>
      <c r="F98" s="38"/>
      <c r="G98" s="38"/>
      <c r="H98" s="63"/>
      <c r="I98" s="21"/>
      <c r="J98" s="22"/>
    </row>
    <row r="99" spans="1:10" ht="13.2" x14ac:dyDescent="0.25">
      <c r="A99" s="17"/>
      <c r="B99" s="17"/>
      <c r="D99" s="18"/>
      <c r="E99" s="18"/>
      <c r="F99" s="18"/>
      <c r="G99" s="18"/>
      <c r="H99" s="58"/>
      <c r="I99" s="21"/>
      <c r="J99" s="22"/>
    </row>
    <row r="100" spans="1:10" ht="15.6" x14ac:dyDescent="0.25">
      <c r="A100" s="23">
        <v>13</v>
      </c>
      <c r="B100" s="97"/>
      <c r="C100" s="98"/>
      <c r="D100" s="98"/>
      <c r="E100" s="98"/>
      <c r="F100" s="98"/>
      <c r="G100" s="98"/>
      <c r="H100" s="59"/>
      <c r="I100" s="25">
        <f ca="1">IF(COUNTIFS(H101:H105,"&gt;0") &gt; 3, FLOOR((SUM(H101:H105)-MIN(H101,H102,H103,H104,H105))/4,0.0001), )</f>
        <v>0</v>
      </c>
      <c r="J100" s="26" t="str">
        <f ca="1">IF(I100=0,"",RANK(I100,$I$4:$I$224,))</f>
        <v/>
      </c>
    </row>
    <row r="101" spans="1:10" ht="13.2" x14ac:dyDescent="0.25">
      <c r="A101" s="17"/>
      <c r="B101" s="28">
        <v>1</v>
      </c>
      <c r="C101" s="29"/>
      <c r="D101" s="30"/>
      <c r="E101" s="60"/>
      <c r="F101" s="60"/>
      <c r="G101" s="60"/>
      <c r="H101" s="61">
        <f ca="1">IFERROR(__xludf.DUMMYFUNCTION("MAX(IF(REGEXMATCH(E101,""^\d{1},\d{2}$""),VALUE(E101),0),IF(REGEXMATCH(F101,""^\d{1},\d{2}$""),VALUE(F101),0),IF(REGEXMATCH(G101,""^\d{1},\d{2}$""),VALUE(G101),0))"),0)</f>
        <v>0</v>
      </c>
      <c r="I101" s="21"/>
      <c r="J101" s="22"/>
    </row>
    <row r="102" spans="1:10" ht="13.2" x14ac:dyDescent="0.25">
      <c r="A102" s="17"/>
      <c r="B102" s="28">
        <v>2</v>
      </c>
      <c r="C102" s="29"/>
      <c r="D102" s="30"/>
      <c r="E102" s="60"/>
      <c r="F102" s="60"/>
      <c r="G102" s="60"/>
      <c r="H102" s="61">
        <f ca="1">IFERROR(__xludf.DUMMYFUNCTION("MAX(IF(REGEXMATCH(E102,""^\d{1},\d{2}$""),VALUE(E102),0),IF(REGEXMATCH(F102,""^\d{1},\d{2}$""),VALUE(F102),0),IF(REGEXMATCH(G102,""^\d{1},\d{2}$""),VALUE(G102),0))"),0)</f>
        <v>0</v>
      </c>
      <c r="I102" s="21"/>
      <c r="J102" s="22"/>
    </row>
    <row r="103" spans="1:10" ht="13.2" x14ac:dyDescent="0.25">
      <c r="A103" s="17"/>
      <c r="B103" s="28">
        <v>3</v>
      </c>
      <c r="C103" s="29"/>
      <c r="D103" s="30"/>
      <c r="E103" s="60"/>
      <c r="F103" s="60"/>
      <c r="G103" s="60"/>
      <c r="H103" s="61">
        <f ca="1">IFERROR(__xludf.DUMMYFUNCTION("MAX(IF(REGEXMATCH(E103,""^\d{1},\d{2}$""),VALUE(E103),0),IF(REGEXMATCH(F103,""^\d{1},\d{2}$""),VALUE(F103),0),IF(REGEXMATCH(G103,""^\d{1},\d{2}$""),VALUE(G103),0))"),0)</f>
        <v>0</v>
      </c>
      <c r="I103" s="21"/>
      <c r="J103" s="22"/>
    </row>
    <row r="104" spans="1:10" ht="13.2" x14ac:dyDescent="0.25">
      <c r="A104" s="17"/>
      <c r="B104" s="28">
        <v>4</v>
      </c>
      <c r="C104" s="29"/>
      <c r="D104" s="30"/>
      <c r="E104" s="60"/>
      <c r="F104" s="60"/>
      <c r="G104" s="60"/>
      <c r="H104" s="61">
        <f ca="1">IFERROR(__xludf.DUMMYFUNCTION("MAX(IF(REGEXMATCH(E104,""^\d{1},\d{2}$""),VALUE(E104),0),IF(REGEXMATCH(F104,""^\d{1},\d{2}$""),VALUE(F104),0),IF(REGEXMATCH(G104,""^\d{1},\d{2}$""),VALUE(G104),0))"),0)</f>
        <v>0</v>
      </c>
      <c r="I104" s="21"/>
      <c r="J104" s="22"/>
    </row>
    <row r="105" spans="1:10" ht="13.2" x14ac:dyDescent="0.25">
      <c r="A105" s="17"/>
      <c r="B105" s="28">
        <v>5</v>
      </c>
      <c r="C105" s="29"/>
      <c r="D105" s="30"/>
      <c r="E105" s="60"/>
      <c r="F105" s="60"/>
      <c r="G105" s="60"/>
      <c r="H105" s="61">
        <f ca="1">IFERROR(__xludf.DUMMYFUNCTION("MAX(IF(REGEXMATCH(E105,""^\d{1},\d{2}$""),VALUE(E105),0),IF(REGEXMATCH(F105,""^\d{1},\d{2}$""),VALUE(F105),0),IF(REGEXMATCH(G105,""^\d{1},\d{2}$""),VALUE(G105),0))"),0)</f>
        <v>0</v>
      </c>
      <c r="I105" s="21"/>
      <c r="J105" s="22"/>
    </row>
    <row r="106" spans="1:10" ht="13.2" x14ac:dyDescent="0.25">
      <c r="A106" s="17"/>
      <c r="B106" s="17"/>
      <c r="D106" s="18"/>
      <c r="E106" s="18"/>
      <c r="F106" s="18"/>
      <c r="G106" s="18"/>
      <c r="H106" s="58"/>
      <c r="I106" s="21"/>
      <c r="J106" s="22"/>
    </row>
    <row r="107" spans="1:10" ht="13.2" x14ac:dyDescent="0.25">
      <c r="A107" s="17"/>
      <c r="B107" s="17"/>
      <c r="D107" s="18"/>
      <c r="E107" s="18"/>
      <c r="F107" s="18"/>
      <c r="G107" s="18"/>
      <c r="H107" s="58"/>
      <c r="I107" s="21"/>
      <c r="J107" s="22"/>
    </row>
    <row r="108" spans="1:10" ht="15.6" x14ac:dyDescent="0.25">
      <c r="A108" s="23">
        <v>14</v>
      </c>
      <c r="B108" s="97"/>
      <c r="C108" s="98"/>
      <c r="D108" s="98"/>
      <c r="E108" s="98"/>
      <c r="F108" s="98"/>
      <c r="G108" s="98"/>
      <c r="H108" s="59"/>
      <c r="I108" s="25">
        <f ca="1">IF(COUNTIFS(H109:H113,"&gt;0") &gt; 3, FLOOR((SUM(H109:H113)-MIN(H109,H110,H111,H112,H113))/4,0.0001), )</f>
        <v>0</v>
      </c>
      <c r="J108" s="26" t="str">
        <f ca="1">IF(I108=0,"",RANK(I108,$I$4:$I$224,))</f>
        <v/>
      </c>
    </row>
    <row r="109" spans="1:10" ht="13.2" x14ac:dyDescent="0.25">
      <c r="A109" s="17"/>
      <c r="B109" s="28">
        <v>1</v>
      </c>
      <c r="C109" s="29"/>
      <c r="D109" s="30"/>
      <c r="E109" s="60"/>
      <c r="F109" s="60"/>
      <c r="G109" s="60"/>
      <c r="H109" s="61">
        <f ca="1">IFERROR(__xludf.DUMMYFUNCTION("MAX(IF(REGEXMATCH(E109,""^\d{1},\d{2}$""),VALUE(E109),0),IF(REGEXMATCH(F109,""^\d{1},\d{2}$""),VALUE(F109),0),IF(REGEXMATCH(G109,""^\d{1},\d{2}$""),VALUE(G109),0))"),0)</f>
        <v>0</v>
      </c>
      <c r="I109" s="21"/>
      <c r="J109" s="22"/>
    </row>
    <row r="110" spans="1:10" ht="13.2" x14ac:dyDescent="0.25">
      <c r="A110" s="17"/>
      <c r="B110" s="28">
        <v>2</v>
      </c>
      <c r="C110" s="29"/>
      <c r="D110" s="30"/>
      <c r="E110" s="60"/>
      <c r="F110" s="60"/>
      <c r="G110" s="60"/>
      <c r="H110" s="61">
        <f ca="1">IFERROR(__xludf.DUMMYFUNCTION("MAX(IF(REGEXMATCH(E110,""^\d{1},\d{2}$""),VALUE(E110),0),IF(REGEXMATCH(F110,""^\d{1},\d{2}$""),VALUE(F110),0),IF(REGEXMATCH(G110,""^\d{1},\d{2}$""),VALUE(G110),0))"),0)</f>
        <v>0</v>
      </c>
      <c r="I110" s="21"/>
      <c r="J110" s="22"/>
    </row>
    <row r="111" spans="1:10" ht="13.2" x14ac:dyDescent="0.25">
      <c r="A111" s="17"/>
      <c r="B111" s="28">
        <v>3</v>
      </c>
      <c r="C111" s="29"/>
      <c r="D111" s="30"/>
      <c r="E111" s="60"/>
      <c r="F111" s="60"/>
      <c r="G111" s="60"/>
      <c r="H111" s="61">
        <f ca="1">IFERROR(__xludf.DUMMYFUNCTION("MAX(IF(REGEXMATCH(E111,""^\d{1},\d{2}$""),VALUE(E111),0),IF(REGEXMATCH(F111,""^\d{1},\d{2}$""),VALUE(F111),0),IF(REGEXMATCH(G111,""^\d{1},\d{2}$""),VALUE(G111),0))"),0)</f>
        <v>0</v>
      </c>
      <c r="I111" s="21"/>
      <c r="J111" s="22"/>
    </row>
    <row r="112" spans="1:10" ht="13.2" x14ac:dyDescent="0.25">
      <c r="A112" s="17"/>
      <c r="B112" s="28">
        <v>4</v>
      </c>
      <c r="C112" s="29"/>
      <c r="D112" s="30"/>
      <c r="E112" s="60"/>
      <c r="F112" s="60"/>
      <c r="G112" s="60"/>
      <c r="H112" s="61">
        <f ca="1">IFERROR(__xludf.DUMMYFUNCTION("MAX(IF(REGEXMATCH(E112,""^\d{1},\d{2}$""),VALUE(E112),0),IF(REGEXMATCH(F112,""^\d{1},\d{2}$""),VALUE(F112),0),IF(REGEXMATCH(G112,""^\d{1},\d{2}$""),VALUE(G112),0))"),0)</f>
        <v>0</v>
      </c>
      <c r="I112" s="21"/>
      <c r="J112" s="22"/>
    </row>
    <row r="113" spans="1:10" ht="13.2" x14ac:dyDescent="0.25">
      <c r="A113" s="17"/>
      <c r="B113" s="28">
        <v>5</v>
      </c>
      <c r="C113" s="29"/>
      <c r="D113" s="30"/>
      <c r="E113" s="60"/>
      <c r="F113" s="60"/>
      <c r="G113" s="60"/>
      <c r="H113" s="61">
        <f ca="1">IFERROR(__xludf.DUMMYFUNCTION("MAX(IF(REGEXMATCH(E113,""^\d{1},\d{2}$""),VALUE(E113),0),IF(REGEXMATCH(F113,""^\d{1},\d{2}$""),VALUE(F113),0),IF(REGEXMATCH(G113,""^\d{1},\d{2}$""),VALUE(G113),0))"),0)</f>
        <v>0</v>
      </c>
      <c r="I113" s="21"/>
      <c r="J113" s="22"/>
    </row>
    <row r="114" spans="1:10" ht="13.2" x14ac:dyDescent="0.25">
      <c r="A114" s="17"/>
      <c r="B114" s="62" t="s">
        <v>18</v>
      </c>
      <c r="C114" s="36"/>
      <c r="D114" s="44"/>
      <c r="E114" s="38"/>
      <c r="F114" s="38"/>
      <c r="G114" s="38"/>
      <c r="H114" s="63"/>
      <c r="I114" s="21"/>
      <c r="J114" s="22"/>
    </row>
    <row r="115" spans="1:10" ht="13.2" x14ac:dyDescent="0.25">
      <c r="A115" s="17"/>
      <c r="B115" s="17"/>
      <c r="D115" s="18"/>
      <c r="E115" s="18"/>
      <c r="F115" s="18"/>
      <c r="G115" s="18"/>
      <c r="H115" s="58"/>
      <c r="I115" s="21"/>
      <c r="J115" s="22"/>
    </row>
    <row r="116" spans="1:10" ht="15.6" x14ac:dyDescent="0.25">
      <c r="A116" s="23">
        <v>15</v>
      </c>
      <c r="B116" s="97"/>
      <c r="C116" s="98"/>
      <c r="D116" s="98"/>
      <c r="E116" s="98"/>
      <c r="F116" s="98"/>
      <c r="G116" s="98"/>
      <c r="H116" s="59"/>
      <c r="I116" s="25">
        <f ca="1">IF(COUNTIFS(H117:H121,"&gt;0") &gt; 3, FLOOR((SUM(H117:H121)-MIN(H117,H118,H119,H120,H121))/4,0.0001), )</f>
        <v>0</v>
      </c>
      <c r="J116" s="26" t="str">
        <f ca="1">IF(I116=0,"",RANK(I116,$I$4:$I$224,))</f>
        <v/>
      </c>
    </row>
    <row r="117" spans="1:10" ht="13.2" x14ac:dyDescent="0.25">
      <c r="A117" s="17"/>
      <c r="B117" s="28">
        <v>1</v>
      </c>
      <c r="C117" s="29"/>
      <c r="D117" s="30"/>
      <c r="E117" s="60"/>
      <c r="F117" s="60"/>
      <c r="G117" s="60"/>
      <c r="H117" s="61">
        <f ca="1">IFERROR(__xludf.DUMMYFUNCTION("MAX(IF(REGEXMATCH(E117,""^\d{1},\d{2}$""),VALUE(E117),0),IF(REGEXMATCH(F117,""^\d{1},\d{2}$""),VALUE(F117),0),IF(REGEXMATCH(G117,""^\d{1},\d{2}$""),VALUE(G117),0))"),0)</f>
        <v>0</v>
      </c>
      <c r="I117" s="21"/>
      <c r="J117" s="22"/>
    </row>
    <row r="118" spans="1:10" ht="13.2" x14ac:dyDescent="0.25">
      <c r="A118" s="17"/>
      <c r="B118" s="28">
        <v>2</v>
      </c>
      <c r="C118" s="29"/>
      <c r="D118" s="30"/>
      <c r="E118" s="60"/>
      <c r="F118" s="60"/>
      <c r="G118" s="60"/>
      <c r="H118" s="61">
        <f ca="1">IFERROR(__xludf.DUMMYFUNCTION("MAX(IF(REGEXMATCH(E118,""^\d{1},\d{2}$""),VALUE(E118),0),IF(REGEXMATCH(F118,""^\d{1},\d{2}$""),VALUE(F118),0),IF(REGEXMATCH(G118,""^\d{1},\d{2}$""),VALUE(G118),0))"),0)</f>
        <v>0</v>
      </c>
      <c r="I118" s="21"/>
      <c r="J118" s="22"/>
    </row>
    <row r="119" spans="1:10" ht="13.2" x14ac:dyDescent="0.25">
      <c r="A119" s="17"/>
      <c r="B119" s="28">
        <v>3</v>
      </c>
      <c r="C119" s="29"/>
      <c r="D119" s="30"/>
      <c r="E119" s="60"/>
      <c r="F119" s="60"/>
      <c r="G119" s="60"/>
      <c r="H119" s="61">
        <f ca="1">IFERROR(__xludf.DUMMYFUNCTION("MAX(IF(REGEXMATCH(E119,""^\d{1},\d{2}$""),VALUE(E119),0),IF(REGEXMATCH(F119,""^\d{1},\d{2}$""),VALUE(F119),0),IF(REGEXMATCH(G119,""^\d{1},\d{2}$""),VALUE(G119),0))"),0)</f>
        <v>0</v>
      </c>
      <c r="I119" s="21"/>
      <c r="J119" s="22"/>
    </row>
    <row r="120" spans="1:10" ht="13.2" x14ac:dyDescent="0.25">
      <c r="A120" s="17"/>
      <c r="B120" s="28">
        <v>4</v>
      </c>
      <c r="C120" s="29"/>
      <c r="D120" s="30"/>
      <c r="E120" s="60"/>
      <c r="F120" s="60"/>
      <c r="G120" s="60"/>
      <c r="H120" s="61">
        <f ca="1">IFERROR(__xludf.DUMMYFUNCTION("MAX(IF(REGEXMATCH(E120,""^\d{1},\d{2}$""),VALUE(E120),0),IF(REGEXMATCH(F120,""^\d{1},\d{2}$""),VALUE(F120),0),IF(REGEXMATCH(G120,""^\d{1},\d{2}$""),VALUE(G120),0))"),0)</f>
        <v>0</v>
      </c>
      <c r="I120" s="21"/>
      <c r="J120" s="22"/>
    </row>
    <row r="121" spans="1:10" ht="13.2" x14ac:dyDescent="0.25">
      <c r="A121" s="17"/>
      <c r="B121" s="28">
        <v>5</v>
      </c>
      <c r="C121" s="29"/>
      <c r="D121" s="30"/>
      <c r="E121" s="60"/>
      <c r="F121" s="60"/>
      <c r="G121" s="60"/>
      <c r="H121" s="61">
        <f ca="1">IFERROR(__xludf.DUMMYFUNCTION("MAX(IF(REGEXMATCH(E121,""^\d{1},\d{2}$""),VALUE(E121),0),IF(REGEXMATCH(F121,""^\d{1},\d{2}$""),VALUE(F121),0),IF(REGEXMATCH(G121,""^\d{1},\d{2}$""),VALUE(G121),0))"),0)</f>
        <v>0</v>
      </c>
      <c r="I121" s="21"/>
      <c r="J121" s="22"/>
    </row>
    <row r="122" spans="1:10" ht="13.2" x14ac:dyDescent="0.25">
      <c r="A122" s="17"/>
      <c r="B122" s="62" t="s">
        <v>18</v>
      </c>
      <c r="C122" s="36"/>
      <c r="D122" s="44"/>
      <c r="E122" s="38"/>
      <c r="F122" s="38"/>
      <c r="G122" s="38"/>
      <c r="H122" s="63"/>
      <c r="I122" s="21"/>
      <c r="J122" s="22"/>
    </row>
    <row r="123" spans="1:10" ht="13.2" x14ac:dyDescent="0.25">
      <c r="A123" s="17"/>
      <c r="B123" s="17"/>
      <c r="D123" s="18"/>
      <c r="E123" s="18"/>
      <c r="F123" s="18"/>
      <c r="G123" s="18"/>
      <c r="H123" s="58"/>
      <c r="I123" s="21"/>
      <c r="J123" s="22"/>
    </row>
    <row r="124" spans="1:10" ht="15.6" x14ac:dyDescent="0.25">
      <c r="A124" s="23">
        <v>16</v>
      </c>
      <c r="B124" s="97"/>
      <c r="C124" s="98"/>
      <c r="D124" s="98"/>
      <c r="E124" s="98"/>
      <c r="F124" s="98"/>
      <c r="G124" s="98"/>
      <c r="H124" s="59"/>
      <c r="I124" s="25">
        <f ca="1">IF(COUNTIFS(H125:H129,"&gt;0") &gt; 3, FLOOR((SUM(H125:H129)-MIN(H125,H126,H127,H128,H129))/4,0.0001), )</f>
        <v>0</v>
      </c>
      <c r="J124" s="26" t="str">
        <f ca="1">IF(I124=0,"",RANK(I124,$I$4:$I$224,))</f>
        <v/>
      </c>
    </row>
    <row r="125" spans="1:10" ht="13.2" x14ac:dyDescent="0.25">
      <c r="A125" s="17"/>
      <c r="B125" s="28">
        <v>1</v>
      </c>
      <c r="C125" s="29"/>
      <c r="D125" s="30"/>
      <c r="E125" s="60"/>
      <c r="F125" s="60"/>
      <c r="G125" s="60"/>
      <c r="H125" s="61">
        <f ca="1">IFERROR(__xludf.DUMMYFUNCTION("MAX(IF(REGEXMATCH(E125,""^\d{1},\d{2}$""),VALUE(E125),0),IF(REGEXMATCH(F125,""^\d{1},\d{2}$""),VALUE(F125),0),IF(REGEXMATCH(G125,""^\d{1},\d{2}$""),VALUE(G125),0))"),0)</f>
        <v>0</v>
      </c>
      <c r="I125" s="21"/>
      <c r="J125" s="22"/>
    </row>
    <row r="126" spans="1:10" ht="13.2" x14ac:dyDescent="0.25">
      <c r="A126" s="17"/>
      <c r="B126" s="28">
        <v>2</v>
      </c>
      <c r="C126" s="29"/>
      <c r="D126" s="30"/>
      <c r="E126" s="60"/>
      <c r="F126" s="60"/>
      <c r="G126" s="60"/>
      <c r="H126" s="61">
        <f ca="1">IFERROR(__xludf.DUMMYFUNCTION("MAX(IF(REGEXMATCH(E126,""^\d{1},\d{2}$""),VALUE(E126),0),IF(REGEXMATCH(F126,""^\d{1},\d{2}$""),VALUE(F126),0),IF(REGEXMATCH(G126,""^\d{1},\d{2}$""),VALUE(G126),0))"),0)</f>
        <v>0</v>
      </c>
      <c r="I126" s="21"/>
      <c r="J126" s="22"/>
    </row>
    <row r="127" spans="1:10" ht="13.2" x14ac:dyDescent="0.25">
      <c r="A127" s="17"/>
      <c r="B127" s="28">
        <v>3</v>
      </c>
      <c r="C127" s="29"/>
      <c r="D127" s="30"/>
      <c r="E127" s="60"/>
      <c r="F127" s="60"/>
      <c r="G127" s="60"/>
      <c r="H127" s="61">
        <f ca="1">IFERROR(__xludf.DUMMYFUNCTION("MAX(IF(REGEXMATCH(E127,""^\d{1},\d{2}$""),VALUE(E127),0),IF(REGEXMATCH(F127,""^\d{1},\d{2}$""),VALUE(F127),0),IF(REGEXMATCH(G127,""^\d{1},\d{2}$""),VALUE(G127),0))"),0)</f>
        <v>0</v>
      </c>
      <c r="I127" s="21"/>
      <c r="J127" s="22"/>
    </row>
    <row r="128" spans="1:10" ht="13.2" x14ac:dyDescent="0.25">
      <c r="A128" s="17"/>
      <c r="B128" s="28">
        <v>4</v>
      </c>
      <c r="C128" s="29"/>
      <c r="D128" s="30"/>
      <c r="E128" s="60"/>
      <c r="F128" s="60"/>
      <c r="G128" s="60"/>
      <c r="H128" s="61">
        <f ca="1">IFERROR(__xludf.DUMMYFUNCTION("MAX(IF(REGEXMATCH(E128,""^\d{1},\d{2}$""),VALUE(E128),0),IF(REGEXMATCH(F128,""^\d{1},\d{2}$""),VALUE(F128),0),IF(REGEXMATCH(G128,""^\d{1},\d{2}$""),VALUE(G128),0))"),0)</f>
        <v>0</v>
      </c>
      <c r="I128" s="21"/>
      <c r="J128" s="22"/>
    </row>
    <row r="129" spans="1:10" ht="13.2" x14ac:dyDescent="0.25">
      <c r="A129" s="17"/>
      <c r="B129" s="28">
        <v>5</v>
      </c>
      <c r="C129" s="29"/>
      <c r="D129" s="30"/>
      <c r="E129" s="60"/>
      <c r="F129" s="60"/>
      <c r="G129" s="60"/>
      <c r="H129" s="61">
        <f ca="1">IFERROR(__xludf.DUMMYFUNCTION("MAX(IF(REGEXMATCH(E129,""^\d{1},\d{2}$""),VALUE(E129),0),IF(REGEXMATCH(F129,""^\d{1},\d{2}$""),VALUE(F129),0),IF(REGEXMATCH(G129,""^\d{1},\d{2}$""),VALUE(G129),0))"),0)</f>
        <v>0</v>
      </c>
      <c r="I129" s="21"/>
      <c r="J129" s="22"/>
    </row>
    <row r="130" spans="1:10" ht="13.2" x14ac:dyDescent="0.25">
      <c r="A130" s="17"/>
      <c r="B130" s="62" t="s">
        <v>18</v>
      </c>
      <c r="C130" s="36"/>
      <c r="D130" s="44"/>
      <c r="E130" s="38"/>
      <c r="F130" s="38"/>
      <c r="G130" s="38"/>
      <c r="H130" s="63"/>
      <c r="I130" s="21"/>
      <c r="J130" s="22"/>
    </row>
    <row r="131" spans="1:10" ht="13.2" x14ac:dyDescent="0.25">
      <c r="A131" s="17"/>
      <c r="B131" s="17"/>
      <c r="D131" s="18"/>
      <c r="E131" s="18"/>
      <c r="F131" s="18"/>
      <c r="G131" s="18"/>
      <c r="H131" s="58"/>
      <c r="I131" s="21"/>
      <c r="J131" s="22"/>
    </row>
    <row r="132" spans="1:10" ht="15.6" x14ac:dyDescent="0.25">
      <c r="A132" s="23">
        <v>17</v>
      </c>
      <c r="B132" s="97"/>
      <c r="C132" s="98"/>
      <c r="D132" s="98"/>
      <c r="E132" s="98"/>
      <c r="F132" s="98"/>
      <c r="G132" s="98"/>
      <c r="H132" s="59"/>
      <c r="I132" s="25">
        <f ca="1">IF(COUNTIFS(H133:H137,"&gt;0") &gt; 3, FLOOR((SUM(H133:H137)-MIN(H133,H134,H135,H136,H137))/4,0.0001), )</f>
        <v>0</v>
      </c>
      <c r="J132" s="26" t="str">
        <f ca="1">IF(I132=0,"",RANK(I132,$I$4:$I$224,))</f>
        <v/>
      </c>
    </row>
    <row r="133" spans="1:10" ht="13.2" x14ac:dyDescent="0.25">
      <c r="A133" s="17"/>
      <c r="B133" s="28">
        <v>1</v>
      </c>
      <c r="C133" s="29"/>
      <c r="D133" s="30"/>
      <c r="E133" s="60"/>
      <c r="F133" s="60"/>
      <c r="G133" s="60"/>
      <c r="H133" s="61">
        <f ca="1">IFERROR(__xludf.DUMMYFUNCTION("MAX(IF(REGEXMATCH(E133,""^\d{1},\d{2}$""),VALUE(E133),0),IF(REGEXMATCH(F133,""^\d{1},\d{2}$""),VALUE(F133),0),IF(REGEXMATCH(G133,""^\d{1},\d{2}$""),VALUE(G133),0))"),0)</f>
        <v>0</v>
      </c>
      <c r="I133" s="21"/>
      <c r="J133" s="22"/>
    </row>
    <row r="134" spans="1:10" ht="13.2" x14ac:dyDescent="0.25">
      <c r="A134" s="17"/>
      <c r="B134" s="28">
        <v>2</v>
      </c>
      <c r="C134" s="29"/>
      <c r="D134" s="30"/>
      <c r="E134" s="60"/>
      <c r="F134" s="60"/>
      <c r="G134" s="60"/>
      <c r="H134" s="61">
        <f ca="1">IFERROR(__xludf.DUMMYFUNCTION("MAX(IF(REGEXMATCH(E134,""^\d{1},\d{2}$""),VALUE(E134),0),IF(REGEXMATCH(F134,""^\d{1},\d{2}$""),VALUE(F134),0),IF(REGEXMATCH(G134,""^\d{1},\d{2}$""),VALUE(G134),0))"),0)</f>
        <v>0</v>
      </c>
      <c r="I134" s="21"/>
      <c r="J134" s="22"/>
    </row>
    <row r="135" spans="1:10" ht="13.2" x14ac:dyDescent="0.25">
      <c r="A135" s="17"/>
      <c r="B135" s="28">
        <v>3</v>
      </c>
      <c r="C135" s="29"/>
      <c r="D135" s="30"/>
      <c r="E135" s="60"/>
      <c r="F135" s="60"/>
      <c r="G135" s="60"/>
      <c r="H135" s="61">
        <f ca="1">IFERROR(__xludf.DUMMYFUNCTION("MAX(IF(REGEXMATCH(E135,""^\d{1},\d{2}$""),VALUE(E135),0),IF(REGEXMATCH(F135,""^\d{1},\d{2}$""),VALUE(F135),0),IF(REGEXMATCH(G135,""^\d{1},\d{2}$""),VALUE(G135),0))"),0)</f>
        <v>0</v>
      </c>
      <c r="I135" s="21"/>
      <c r="J135" s="22"/>
    </row>
    <row r="136" spans="1:10" ht="13.2" x14ac:dyDescent="0.25">
      <c r="A136" s="17"/>
      <c r="B136" s="28">
        <v>4</v>
      </c>
      <c r="C136" s="29"/>
      <c r="D136" s="30"/>
      <c r="E136" s="60"/>
      <c r="F136" s="60"/>
      <c r="G136" s="60"/>
      <c r="H136" s="61">
        <f ca="1">IFERROR(__xludf.DUMMYFUNCTION("MAX(IF(REGEXMATCH(E136,""^\d{1},\d{2}$""),VALUE(E136),0),IF(REGEXMATCH(F136,""^\d{1},\d{2}$""),VALUE(F136),0),IF(REGEXMATCH(G136,""^\d{1},\d{2}$""),VALUE(G136),0))"),0)</f>
        <v>0</v>
      </c>
      <c r="I136" s="21"/>
      <c r="J136" s="22"/>
    </row>
    <row r="137" spans="1:10" ht="13.2" x14ac:dyDescent="0.25">
      <c r="A137" s="17"/>
      <c r="B137" s="28">
        <v>5</v>
      </c>
      <c r="C137" s="29"/>
      <c r="D137" s="30"/>
      <c r="E137" s="60"/>
      <c r="F137" s="60"/>
      <c r="G137" s="60"/>
      <c r="H137" s="61">
        <f ca="1">IFERROR(__xludf.DUMMYFUNCTION("MAX(IF(REGEXMATCH(E137,""^\d{1},\d{2}$""),VALUE(E137),0),IF(REGEXMATCH(F137,""^\d{1},\d{2}$""),VALUE(F137),0),IF(REGEXMATCH(G137,""^\d{1},\d{2}$""),VALUE(G137),0))"),0)</f>
        <v>0</v>
      </c>
      <c r="I137" s="21"/>
      <c r="J137" s="22"/>
    </row>
    <row r="138" spans="1:10" ht="13.2" x14ac:dyDescent="0.25">
      <c r="A138" s="17"/>
      <c r="B138" s="62" t="s">
        <v>18</v>
      </c>
      <c r="C138" s="36"/>
      <c r="D138" s="44"/>
      <c r="E138" s="38"/>
      <c r="F138" s="38"/>
      <c r="G138" s="38"/>
      <c r="H138" s="63"/>
      <c r="I138" s="21"/>
      <c r="J138" s="22"/>
    </row>
    <row r="139" spans="1:10" ht="13.2" x14ac:dyDescent="0.25">
      <c r="A139" s="17"/>
      <c r="B139" s="17"/>
      <c r="D139" s="18"/>
      <c r="E139" s="18"/>
      <c r="F139" s="18"/>
      <c r="G139" s="18"/>
      <c r="H139" s="58"/>
      <c r="I139" s="21"/>
      <c r="J139" s="22"/>
    </row>
    <row r="140" spans="1:10" ht="15.6" x14ac:dyDescent="0.25">
      <c r="A140" s="23">
        <v>18</v>
      </c>
      <c r="B140" s="97"/>
      <c r="C140" s="98"/>
      <c r="D140" s="98"/>
      <c r="E140" s="98"/>
      <c r="F140" s="98"/>
      <c r="G140" s="98"/>
      <c r="H140" s="59"/>
      <c r="I140" s="25">
        <f ca="1">IF(COUNTIFS(H141:H145,"&gt;0") &gt; 3, FLOOR((SUM(H141:H145)-MIN(H141,H142,H143,H144,H145))/4,0.0001), )</f>
        <v>0</v>
      </c>
      <c r="J140" s="26" t="str">
        <f ca="1">IF(I140=0,"",RANK(I140,$I$4:$I$224,))</f>
        <v/>
      </c>
    </row>
    <row r="141" spans="1:10" ht="13.2" x14ac:dyDescent="0.25">
      <c r="A141" s="17"/>
      <c r="B141" s="28">
        <v>1</v>
      </c>
      <c r="C141" s="29"/>
      <c r="D141" s="30"/>
      <c r="E141" s="60"/>
      <c r="F141" s="60"/>
      <c r="G141" s="60"/>
      <c r="H141" s="61">
        <f ca="1">IFERROR(__xludf.DUMMYFUNCTION("MAX(IF(REGEXMATCH(E141,""^\d{1},\d{2}$""),VALUE(E141),0),IF(REGEXMATCH(F141,""^\d{1},\d{2}$""),VALUE(F141),0),IF(REGEXMATCH(G141,""^\d{1},\d{2}$""),VALUE(G141),0))"),0)</f>
        <v>0</v>
      </c>
      <c r="I141" s="21"/>
      <c r="J141" s="22"/>
    </row>
    <row r="142" spans="1:10" ht="13.2" x14ac:dyDescent="0.25">
      <c r="A142" s="17"/>
      <c r="B142" s="28">
        <v>2</v>
      </c>
      <c r="C142" s="29"/>
      <c r="D142" s="30"/>
      <c r="E142" s="60"/>
      <c r="F142" s="60"/>
      <c r="G142" s="60"/>
      <c r="H142" s="61">
        <f ca="1">IFERROR(__xludf.DUMMYFUNCTION("MAX(IF(REGEXMATCH(E142,""^\d{1},\d{2}$""),VALUE(E142),0),IF(REGEXMATCH(F142,""^\d{1},\d{2}$""),VALUE(F142),0),IF(REGEXMATCH(G142,""^\d{1},\d{2}$""),VALUE(G142),0))"),0)</f>
        <v>0</v>
      </c>
      <c r="I142" s="21"/>
      <c r="J142" s="22"/>
    </row>
    <row r="143" spans="1:10" ht="13.2" x14ac:dyDescent="0.25">
      <c r="A143" s="17"/>
      <c r="B143" s="28">
        <v>3</v>
      </c>
      <c r="C143" s="29"/>
      <c r="D143" s="30"/>
      <c r="E143" s="60"/>
      <c r="F143" s="60"/>
      <c r="G143" s="60"/>
      <c r="H143" s="61">
        <f ca="1">IFERROR(__xludf.DUMMYFUNCTION("MAX(IF(REGEXMATCH(E143,""^\d{1},\d{2}$""),VALUE(E143),0),IF(REGEXMATCH(F143,""^\d{1},\d{2}$""),VALUE(F143),0),IF(REGEXMATCH(G143,""^\d{1},\d{2}$""),VALUE(G143),0))"),0)</f>
        <v>0</v>
      </c>
      <c r="I143" s="21"/>
      <c r="J143" s="22"/>
    </row>
    <row r="144" spans="1:10" ht="13.2" x14ac:dyDescent="0.25">
      <c r="A144" s="17"/>
      <c r="B144" s="28">
        <v>4</v>
      </c>
      <c r="C144" s="29"/>
      <c r="D144" s="30"/>
      <c r="E144" s="60"/>
      <c r="F144" s="60"/>
      <c r="G144" s="60"/>
      <c r="H144" s="61">
        <f ca="1">IFERROR(__xludf.DUMMYFUNCTION("MAX(IF(REGEXMATCH(E144,""^\d{1},\d{2}$""),VALUE(E144),0),IF(REGEXMATCH(F144,""^\d{1},\d{2}$""),VALUE(F144),0),IF(REGEXMATCH(G144,""^\d{1},\d{2}$""),VALUE(G144),0))"),0)</f>
        <v>0</v>
      </c>
      <c r="I144" s="21"/>
      <c r="J144" s="22"/>
    </row>
    <row r="145" spans="1:10" ht="13.2" x14ac:dyDescent="0.25">
      <c r="A145" s="17"/>
      <c r="B145" s="28">
        <v>5</v>
      </c>
      <c r="C145" s="29"/>
      <c r="D145" s="30"/>
      <c r="E145" s="60"/>
      <c r="F145" s="60"/>
      <c r="G145" s="60"/>
      <c r="H145" s="61">
        <f ca="1">IFERROR(__xludf.DUMMYFUNCTION("MAX(IF(REGEXMATCH(E145,""^\d{1},\d{2}$""),VALUE(E145),0),IF(REGEXMATCH(F145,""^\d{1},\d{2}$""),VALUE(F145),0),IF(REGEXMATCH(G145,""^\d{1},\d{2}$""),VALUE(G145),0))"),0)</f>
        <v>0</v>
      </c>
      <c r="I145" s="21"/>
      <c r="J145" s="22"/>
    </row>
    <row r="146" spans="1:10" ht="13.2" x14ac:dyDescent="0.25">
      <c r="A146" s="17"/>
      <c r="B146" s="62" t="s">
        <v>18</v>
      </c>
      <c r="C146" s="36"/>
      <c r="D146" s="44"/>
      <c r="E146" s="38"/>
      <c r="F146" s="38"/>
      <c r="G146" s="38"/>
      <c r="H146" s="63"/>
      <c r="I146" s="21"/>
      <c r="J146" s="22"/>
    </row>
    <row r="147" spans="1:10" ht="13.2" x14ac:dyDescent="0.25">
      <c r="A147" s="17"/>
      <c r="B147" s="17"/>
      <c r="D147" s="18"/>
      <c r="E147" s="18"/>
      <c r="F147" s="18"/>
      <c r="G147" s="18"/>
      <c r="H147" s="58"/>
      <c r="I147" s="21"/>
      <c r="J147" s="22"/>
    </row>
    <row r="148" spans="1:10" ht="15.6" x14ac:dyDescent="0.25">
      <c r="A148" s="23">
        <v>19</v>
      </c>
      <c r="B148" s="97"/>
      <c r="C148" s="98"/>
      <c r="D148" s="98"/>
      <c r="E148" s="98"/>
      <c r="F148" s="98"/>
      <c r="G148" s="98"/>
      <c r="H148" s="99"/>
      <c r="I148" s="25">
        <f ca="1">IF(COUNTIFS(H149:H153,"&gt;0") &gt; 3, FLOOR((SUM(H149:H153)-MIN(H149,H150,H151,H152,H153))/4,0.0001), )</f>
        <v>0</v>
      </c>
      <c r="J148" s="26" t="str">
        <f ca="1">IF(I148=0,"",RANK(I148,$I$4:$I$224,))</f>
        <v/>
      </c>
    </row>
    <row r="149" spans="1:10" ht="13.2" x14ac:dyDescent="0.25">
      <c r="A149" s="17"/>
      <c r="B149" s="28">
        <v>1</v>
      </c>
      <c r="C149" s="29"/>
      <c r="D149" s="30"/>
      <c r="E149" s="60"/>
      <c r="F149" s="60"/>
      <c r="G149" s="60"/>
      <c r="H149" s="61">
        <f ca="1">IFERROR(__xludf.DUMMYFUNCTION("MAX(IF(REGEXMATCH(E149,""^\d{1},\d{2}$""),VALUE(E149),0),IF(REGEXMATCH(F149,""^\d{1},\d{2}$""),VALUE(F149),0),IF(REGEXMATCH(G149,""^\d{1},\d{2}$""),VALUE(G149),0))"),0)</f>
        <v>0</v>
      </c>
      <c r="I149" s="21"/>
      <c r="J149" s="22"/>
    </row>
    <row r="150" spans="1:10" ht="13.2" x14ac:dyDescent="0.25">
      <c r="A150" s="17"/>
      <c r="B150" s="28">
        <v>2</v>
      </c>
      <c r="C150" s="29"/>
      <c r="D150" s="30"/>
      <c r="E150" s="60"/>
      <c r="F150" s="60"/>
      <c r="G150" s="60"/>
      <c r="H150" s="61">
        <f ca="1">IFERROR(__xludf.DUMMYFUNCTION("MAX(IF(REGEXMATCH(E150,""^\d{1},\d{2}$""),VALUE(E150),0),IF(REGEXMATCH(F150,""^\d{1},\d{2}$""),VALUE(F150),0),IF(REGEXMATCH(G150,""^\d{1},\d{2}$""),VALUE(G150),0))"),0)</f>
        <v>0</v>
      </c>
      <c r="I150" s="21"/>
      <c r="J150" s="22"/>
    </row>
    <row r="151" spans="1:10" ht="13.2" x14ac:dyDescent="0.25">
      <c r="A151" s="17"/>
      <c r="B151" s="28">
        <v>3</v>
      </c>
      <c r="C151" s="29"/>
      <c r="D151" s="30"/>
      <c r="E151" s="60"/>
      <c r="F151" s="60"/>
      <c r="G151" s="60"/>
      <c r="H151" s="61">
        <f ca="1">IFERROR(__xludf.DUMMYFUNCTION("MAX(IF(REGEXMATCH(E151,""^\d{1},\d{2}$""),VALUE(E151),0),IF(REGEXMATCH(F151,""^\d{1},\d{2}$""),VALUE(F151),0),IF(REGEXMATCH(G151,""^\d{1},\d{2}$""),VALUE(G151),0))"),0)</f>
        <v>0</v>
      </c>
      <c r="I151" s="21"/>
      <c r="J151" s="22"/>
    </row>
    <row r="152" spans="1:10" ht="13.2" x14ac:dyDescent="0.25">
      <c r="A152" s="17"/>
      <c r="B152" s="28">
        <v>4</v>
      </c>
      <c r="C152" s="29"/>
      <c r="D152" s="30"/>
      <c r="E152" s="60"/>
      <c r="F152" s="60"/>
      <c r="G152" s="60"/>
      <c r="H152" s="61">
        <f ca="1">IFERROR(__xludf.DUMMYFUNCTION("MAX(IF(REGEXMATCH(E152,""^\d{1},\d{2}$""),VALUE(E152),0),IF(REGEXMATCH(F152,""^\d{1},\d{2}$""),VALUE(F152),0),IF(REGEXMATCH(G152,""^\d{1},\d{2}$""),VALUE(G152),0))"),0)</f>
        <v>0</v>
      </c>
      <c r="I152" s="21"/>
      <c r="J152" s="22"/>
    </row>
    <row r="153" spans="1:10" ht="13.2" x14ac:dyDescent="0.25">
      <c r="A153" s="17"/>
      <c r="B153" s="28">
        <v>5</v>
      </c>
      <c r="C153" s="29"/>
      <c r="D153" s="30"/>
      <c r="E153" s="60"/>
      <c r="F153" s="60"/>
      <c r="G153" s="60"/>
      <c r="H153" s="61">
        <f ca="1">IFERROR(__xludf.DUMMYFUNCTION("MAX(IF(REGEXMATCH(E153,""^\d{1},\d{2}$""),VALUE(E153),0),IF(REGEXMATCH(F153,""^\d{1},\d{2}$""),VALUE(F153),0),IF(REGEXMATCH(G153,""^\d{1},\d{2}$""),VALUE(G153),0))"),0)</f>
        <v>0</v>
      </c>
      <c r="I153" s="21"/>
      <c r="J153" s="22"/>
    </row>
    <row r="154" spans="1:10" ht="13.2" x14ac:dyDescent="0.25">
      <c r="A154" s="17"/>
      <c r="B154" s="62" t="s">
        <v>18</v>
      </c>
      <c r="C154" s="36"/>
      <c r="D154" s="44"/>
      <c r="E154" s="38"/>
      <c r="F154" s="38"/>
      <c r="G154" s="38"/>
      <c r="H154" s="63"/>
      <c r="I154" s="21"/>
      <c r="J154" s="22"/>
    </row>
    <row r="155" spans="1:10" ht="13.2" x14ac:dyDescent="0.25">
      <c r="A155" s="17"/>
      <c r="B155" s="17"/>
      <c r="D155" s="18"/>
      <c r="E155" s="18"/>
      <c r="F155" s="18"/>
      <c r="G155" s="18"/>
      <c r="H155" s="58"/>
      <c r="I155" s="21"/>
      <c r="J155" s="22"/>
    </row>
    <row r="156" spans="1:10" ht="15.6" x14ac:dyDescent="0.25">
      <c r="A156" s="23">
        <v>20</v>
      </c>
      <c r="B156" s="97"/>
      <c r="C156" s="98"/>
      <c r="D156" s="98"/>
      <c r="E156" s="98"/>
      <c r="F156" s="98"/>
      <c r="G156" s="98"/>
      <c r="H156" s="59"/>
      <c r="I156" s="25">
        <f ca="1">IF(COUNTIFS(H157:H161,"&gt;0") &gt; 3, FLOOR((SUM(H157:H161)-MIN(H157,H158,H159,H160,H161))/4,0.0001), )</f>
        <v>0</v>
      </c>
      <c r="J156" s="26" t="str">
        <f ca="1">IF(I156=0,"",RANK(I156,$I$4:$I$224,))</f>
        <v/>
      </c>
    </row>
    <row r="157" spans="1:10" ht="13.2" x14ac:dyDescent="0.25">
      <c r="A157" s="17"/>
      <c r="B157" s="28">
        <v>1</v>
      </c>
      <c r="C157" s="29"/>
      <c r="D157" s="30"/>
      <c r="E157" s="60"/>
      <c r="F157" s="60"/>
      <c r="G157" s="60"/>
      <c r="H157" s="61">
        <f ca="1">IFERROR(__xludf.DUMMYFUNCTION("MAX(IF(REGEXMATCH(E157,""^\d{1},\d{2}$""),VALUE(E157),0),IF(REGEXMATCH(F157,""^\d{1},\d{2}$""),VALUE(F157),0),IF(REGEXMATCH(G157,""^\d{1},\d{2}$""),VALUE(G157),0))"),0)</f>
        <v>0</v>
      </c>
      <c r="I157" s="21"/>
      <c r="J157" s="22"/>
    </row>
    <row r="158" spans="1:10" ht="13.2" x14ac:dyDescent="0.25">
      <c r="A158" s="17"/>
      <c r="B158" s="28">
        <v>2</v>
      </c>
      <c r="C158" s="29"/>
      <c r="D158" s="30"/>
      <c r="E158" s="60"/>
      <c r="F158" s="60"/>
      <c r="G158" s="60"/>
      <c r="H158" s="61">
        <f ca="1">IFERROR(__xludf.DUMMYFUNCTION("MAX(IF(REGEXMATCH(E158,""^\d{1},\d{2}$""),VALUE(E158),0),IF(REGEXMATCH(F158,""^\d{1},\d{2}$""),VALUE(F158),0),IF(REGEXMATCH(G158,""^\d{1},\d{2}$""),VALUE(G158),0))"),0)</f>
        <v>0</v>
      </c>
      <c r="I158" s="21"/>
      <c r="J158" s="22"/>
    </row>
    <row r="159" spans="1:10" ht="13.2" x14ac:dyDescent="0.25">
      <c r="A159" s="17"/>
      <c r="B159" s="28">
        <v>3</v>
      </c>
      <c r="C159" s="29"/>
      <c r="D159" s="30"/>
      <c r="E159" s="60"/>
      <c r="F159" s="60"/>
      <c r="G159" s="60"/>
      <c r="H159" s="61">
        <f ca="1">IFERROR(__xludf.DUMMYFUNCTION("MAX(IF(REGEXMATCH(E159,""^\d{1},\d{2}$""),VALUE(E159),0),IF(REGEXMATCH(F159,""^\d{1},\d{2}$""),VALUE(F159),0),IF(REGEXMATCH(G159,""^\d{1},\d{2}$""),VALUE(G159),0))"),0)</f>
        <v>0</v>
      </c>
      <c r="I159" s="21"/>
      <c r="J159" s="22"/>
    </row>
    <row r="160" spans="1:10" ht="13.2" x14ac:dyDescent="0.25">
      <c r="A160" s="17"/>
      <c r="B160" s="28">
        <v>4</v>
      </c>
      <c r="C160" s="29"/>
      <c r="D160" s="30"/>
      <c r="E160" s="60"/>
      <c r="F160" s="60"/>
      <c r="G160" s="60"/>
      <c r="H160" s="61">
        <f ca="1">IFERROR(__xludf.DUMMYFUNCTION("MAX(IF(REGEXMATCH(E160,""^\d{1},\d{2}$""),VALUE(E160),0),IF(REGEXMATCH(F160,""^\d{1},\d{2}$""),VALUE(F160),0),IF(REGEXMATCH(G160,""^\d{1},\d{2}$""),VALUE(G160),0))"),0)</f>
        <v>0</v>
      </c>
      <c r="I160" s="21"/>
      <c r="J160" s="22"/>
    </row>
    <row r="161" spans="1:10" ht="13.2" x14ac:dyDescent="0.25">
      <c r="A161" s="17"/>
      <c r="B161" s="28">
        <v>5</v>
      </c>
      <c r="C161" s="29"/>
      <c r="D161" s="30"/>
      <c r="E161" s="60"/>
      <c r="F161" s="60"/>
      <c r="G161" s="60"/>
      <c r="H161" s="61">
        <f ca="1">IFERROR(__xludf.DUMMYFUNCTION("MAX(IF(REGEXMATCH(E161,""^\d{1},\d{2}$""),VALUE(E161),0),IF(REGEXMATCH(F161,""^\d{1},\d{2}$""),VALUE(F161),0),IF(REGEXMATCH(G161,""^\d{1},\d{2}$""),VALUE(G161),0))"),0)</f>
        <v>0</v>
      </c>
      <c r="I161" s="21"/>
      <c r="J161" s="22"/>
    </row>
    <row r="162" spans="1:10" ht="13.2" x14ac:dyDescent="0.25">
      <c r="A162" s="17"/>
      <c r="B162" s="62" t="s">
        <v>18</v>
      </c>
      <c r="C162" s="36"/>
      <c r="D162" s="44"/>
      <c r="E162" s="38"/>
      <c r="F162" s="38"/>
      <c r="G162" s="38"/>
      <c r="H162" s="63"/>
      <c r="I162" s="21"/>
      <c r="J162" s="22"/>
    </row>
    <row r="163" spans="1:10" ht="13.2" x14ac:dyDescent="0.25">
      <c r="A163" s="17"/>
      <c r="B163" s="17"/>
      <c r="D163" s="18"/>
      <c r="E163" s="18"/>
      <c r="F163" s="18"/>
      <c r="G163" s="18"/>
      <c r="H163" s="58"/>
      <c r="I163" s="21"/>
      <c r="J163" s="22"/>
    </row>
    <row r="164" spans="1:10" ht="15.6" x14ac:dyDescent="0.25">
      <c r="A164" s="23">
        <v>21</v>
      </c>
      <c r="B164" s="97"/>
      <c r="C164" s="98"/>
      <c r="D164" s="98"/>
      <c r="E164" s="98"/>
      <c r="F164" s="98"/>
      <c r="G164" s="98"/>
      <c r="H164" s="59"/>
      <c r="I164" s="25">
        <f ca="1">IF(COUNTIFS(H165:H169,"&gt;0") &gt; 3, FLOOR((SUM(H165:H169)-MIN(H165,H166,H167,H168,H169))/4,0.0001), )</f>
        <v>0</v>
      </c>
      <c r="J164" s="26" t="str">
        <f ca="1">IF(I164=0,"",RANK(I164,$I$4:$I$224,))</f>
        <v/>
      </c>
    </row>
    <row r="165" spans="1:10" ht="13.2" x14ac:dyDescent="0.25">
      <c r="A165" s="17"/>
      <c r="B165" s="28">
        <v>1</v>
      </c>
      <c r="C165" s="29"/>
      <c r="D165" s="30"/>
      <c r="E165" s="60"/>
      <c r="F165" s="60"/>
      <c r="G165" s="60"/>
      <c r="H165" s="61">
        <f ca="1">IFERROR(__xludf.DUMMYFUNCTION("MAX(IF(REGEXMATCH(E165,""^\d{1},\d{2}$""),VALUE(E165),0),IF(REGEXMATCH(F165,""^\d{1},\d{2}$""),VALUE(F165),0),IF(REGEXMATCH(G165,""^\d{1},\d{2}$""),VALUE(G165),0))"),0)</f>
        <v>0</v>
      </c>
      <c r="I165" s="21"/>
      <c r="J165" s="22"/>
    </row>
    <row r="166" spans="1:10" ht="13.2" x14ac:dyDescent="0.25">
      <c r="A166" s="17"/>
      <c r="B166" s="28">
        <v>2</v>
      </c>
      <c r="C166" s="29"/>
      <c r="D166" s="30"/>
      <c r="E166" s="60"/>
      <c r="F166" s="60"/>
      <c r="G166" s="60"/>
      <c r="H166" s="61">
        <f ca="1">IFERROR(__xludf.DUMMYFUNCTION("MAX(IF(REGEXMATCH(E166,""^\d{1},\d{2}$""),VALUE(E166),0),IF(REGEXMATCH(F166,""^\d{1},\d{2}$""),VALUE(F166),0),IF(REGEXMATCH(G166,""^\d{1},\d{2}$""),VALUE(G166),0))"),0)</f>
        <v>0</v>
      </c>
      <c r="I166" s="21"/>
      <c r="J166" s="22"/>
    </row>
    <row r="167" spans="1:10" ht="13.2" x14ac:dyDescent="0.25">
      <c r="A167" s="17"/>
      <c r="B167" s="28">
        <v>3</v>
      </c>
      <c r="C167" s="29"/>
      <c r="D167" s="30"/>
      <c r="E167" s="60"/>
      <c r="F167" s="60"/>
      <c r="G167" s="60"/>
      <c r="H167" s="61">
        <f ca="1">IFERROR(__xludf.DUMMYFUNCTION("MAX(IF(REGEXMATCH(E167,""^\d{1},\d{2}$""),VALUE(E167),0),IF(REGEXMATCH(F167,""^\d{1},\d{2}$""),VALUE(F167),0),IF(REGEXMATCH(G167,""^\d{1},\d{2}$""),VALUE(G167),0))"),0)</f>
        <v>0</v>
      </c>
      <c r="I167" s="21"/>
      <c r="J167" s="22"/>
    </row>
    <row r="168" spans="1:10" ht="13.2" x14ac:dyDescent="0.25">
      <c r="A168" s="17"/>
      <c r="B168" s="28">
        <v>4</v>
      </c>
      <c r="C168" s="29"/>
      <c r="D168" s="30"/>
      <c r="E168" s="60"/>
      <c r="F168" s="60"/>
      <c r="G168" s="60"/>
      <c r="H168" s="61">
        <f ca="1">IFERROR(__xludf.DUMMYFUNCTION("MAX(IF(REGEXMATCH(E168,""^\d{1},\d{2}$""),VALUE(E168),0),IF(REGEXMATCH(F168,""^\d{1},\d{2}$""),VALUE(F168),0),IF(REGEXMATCH(G168,""^\d{1},\d{2}$""),VALUE(G168),0))"),0)</f>
        <v>0</v>
      </c>
      <c r="I168" s="21"/>
      <c r="J168" s="22"/>
    </row>
    <row r="169" spans="1:10" ht="13.2" x14ac:dyDescent="0.25">
      <c r="A169" s="17"/>
      <c r="B169" s="28">
        <v>5</v>
      </c>
      <c r="C169" s="29"/>
      <c r="D169" s="30"/>
      <c r="E169" s="60"/>
      <c r="F169" s="60"/>
      <c r="G169" s="60"/>
      <c r="H169" s="61">
        <f ca="1">IFERROR(__xludf.DUMMYFUNCTION("MAX(IF(REGEXMATCH(E169,""^\d{1},\d{2}$""),VALUE(E169),0),IF(REGEXMATCH(F169,""^\d{1},\d{2}$""),VALUE(F169),0),IF(REGEXMATCH(G169,""^\d{1},\d{2}$""),VALUE(G169),0))"),0)</f>
        <v>0</v>
      </c>
      <c r="I169" s="21"/>
      <c r="J169" s="22"/>
    </row>
    <row r="170" spans="1:10" ht="13.2" x14ac:dyDescent="0.25">
      <c r="A170" s="17"/>
      <c r="B170" s="62" t="s">
        <v>18</v>
      </c>
      <c r="C170" s="36"/>
      <c r="D170" s="44"/>
      <c r="E170" s="38"/>
      <c r="F170" s="38"/>
      <c r="G170" s="38"/>
      <c r="H170" s="63"/>
      <c r="I170" s="21"/>
      <c r="J170" s="22"/>
    </row>
    <row r="171" spans="1:10" ht="13.2" x14ac:dyDescent="0.25">
      <c r="A171" s="17"/>
      <c r="B171" s="17"/>
      <c r="D171" s="18"/>
      <c r="E171" s="18"/>
      <c r="F171" s="18"/>
      <c r="G171" s="18"/>
      <c r="H171" s="58"/>
      <c r="I171" s="21"/>
      <c r="J171" s="22"/>
    </row>
    <row r="172" spans="1:10" ht="15.6" x14ac:dyDescent="0.25">
      <c r="A172" s="46">
        <v>22</v>
      </c>
      <c r="B172" s="97"/>
      <c r="C172" s="98"/>
      <c r="D172" s="98"/>
      <c r="E172" s="98"/>
      <c r="F172" s="98"/>
      <c r="G172" s="98"/>
      <c r="H172" s="59"/>
      <c r="I172" s="25">
        <f ca="1">IF(COUNTIFS(H173:H177,"&gt;0") &gt; 3, FLOOR((SUM(H173:H177)-MIN(H173,H174,H175,H176,H177))/4,0.0001), )</f>
        <v>0</v>
      </c>
      <c r="J172" s="26" t="str">
        <f ca="1">IF(I172=0,"",RANK(I172,$I$4:$I$224,))</f>
        <v/>
      </c>
    </row>
    <row r="173" spans="1:10" ht="13.2" x14ac:dyDescent="0.25">
      <c r="A173" s="52"/>
      <c r="B173" s="48">
        <v>1</v>
      </c>
      <c r="C173" s="49"/>
      <c r="D173" s="50"/>
      <c r="E173" s="60"/>
      <c r="F173" s="60"/>
      <c r="G173" s="60"/>
      <c r="H173" s="61">
        <f ca="1">IFERROR(__xludf.DUMMYFUNCTION("MAX(IF(REGEXMATCH(E173,""^\d{1},\d{2}$""),VALUE(E173),0),IF(REGEXMATCH(F173,""^\d{1},\d{2}$""),VALUE(F173),0),IF(REGEXMATCH(G173,""^\d{1},\d{2}$""),VALUE(G173),0))"),0)</f>
        <v>0</v>
      </c>
      <c r="I173" s="51"/>
      <c r="J173" s="52"/>
    </row>
    <row r="174" spans="1:10" ht="13.2" x14ac:dyDescent="0.25">
      <c r="A174" s="52"/>
      <c r="B174" s="48">
        <v>2</v>
      </c>
      <c r="C174" s="49"/>
      <c r="D174" s="50"/>
      <c r="E174" s="60"/>
      <c r="F174" s="60"/>
      <c r="G174" s="60"/>
      <c r="H174" s="61">
        <f ca="1">IFERROR(__xludf.DUMMYFUNCTION("MAX(IF(REGEXMATCH(E174,""^\d{1},\d{2}$""),VALUE(E174),0),IF(REGEXMATCH(F174,""^\d{1},\d{2}$""),VALUE(F174),0),IF(REGEXMATCH(G174,""^\d{1},\d{2}$""),VALUE(G174),0))"),0)</f>
        <v>0</v>
      </c>
      <c r="I174" s="51"/>
      <c r="J174" s="52"/>
    </row>
    <row r="175" spans="1:10" ht="13.2" x14ac:dyDescent="0.25">
      <c r="A175" s="52"/>
      <c r="B175" s="48">
        <v>3</v>
      </c>
      <c r="C175" s="49"/>
      <c r="D175" s="50"/>
      <c r="E175" s="60"/>
      <c r="F175" s="60"/>
      <c r="G175" s="60"/>
      <c r="H175" s="61">
        <f ca="1">IFERROR(__xludf.DUMMYFUNCTION("MAX(IF(REGEXMATCH(E175,""^\d{1},\d{2}$""),VALUE(E175),0),IF(REGEXMATCH(F175,""^\d{1},\d{2}$""),VALUE(F175),0),IF(REGEXMATCH(G175,""^\d{1},\d{2}$""),VALUE(G175),0))"),0)</f>
        <v>0</v>
      </c>
      <c r="I175" s="51"/>
      <c r="J175" s="52"/>
    </row>
    <row r="176" spans="1:10" ht="13.2" x14ac:dyDescent="0.25">
      <c r="A176" s="52"/>
      <c r="B176" s="48">
        <v>4</v>
      </c>
      <c r="C176" s="49"/>
      <c r="D176" s="50"/>
      <c r="E176" s="60"/>
      <c r="F176" s="60"/>
      <c r="G176" s="60"/>
      <c r="H176" s="61">
        <f ca="1">IFERROR(__xludf.DUMMYFUNCTION("MAX(IF(REGEXMATCH(E176,""^\d{1},\d{2}$""),VALUE(E176),0),IF(REGEXMATCH(F176,""^\d{1},\d{2}$""),VALUE(F176),0),IF(REGEXMATCH(G176,""^\d{1},\d{2}$""),VALUE(G176),0))"),0)</f>
        <v>0</v>
      </c>
      <c r="I176" s="51"/>
      <c r="J176" s="52"/>
    </row>
    <row r="177" spans="1:10" ht="13.2" x14ac:dyDescent="0.25">
      <c r="A177" s="52"/>
      <c r="B177" s="48">
        <v>5</v>
      </c>
      <c r="C177" s="49"/>
      <c r="D177" s="50"/>
      <c r="E177" s="60"/>
      <c r="F177" s="60"/>
      <c r="G177" s="60"/>
      <c r="H177" s="61">
        <f ca="1">IFERROR(__xludf.DUMMYFUNCTION("MAX(IF(REGEXMATCH(E177,""^\d{1},\d{2}$""),VALUE(E177),0),IF(REGEXMATCH(F177,""^\d{1},\d{2}$""),VALUE(F177),0),IF(REGEXMATCH(G177,""^\d{1},\d{2}$""),VALUE(G177),0))"),0)</f>
        <v>0</v>
      </c>
      <c r="I177" s="51"/>
      <c r="J177" s="52"/>
    </row>
    <row r="178" spans="1:10" ht="13.2" x14ac:dyDescent="0.25">
      <c r="A178" s="52"/>
      <c r="B178" s="62" t="s">
        <v>18</v>
      </c>
      <c r="C178" s="36"/>
      <c r="D178" s="44"/>
      <c r="E178" s="38"/>
      <c r="F178" s="38"/>
      <c r="G178" s="38"/>
      <c r="H178" s="63"/>
      <c r="I178" s="51"/>
      <c r="J178" s="52"/>
    </row>
    <row r="179" spans="1:10" ht="13.2" x14ac:dyDescent="0.25">
      <c r="A179" s="52"/>
      <c r="B179" s="52"/>
      <c r="C179" s="52"/>
      <c r="D179" s="53"/>
      <c r="E179" s="53"/>
      <c r="F179" s="53"/>
      <c r="G179" s="53"/>
      <c r="H179" s="64"/>
      <c r="I179" s="51"/>
      <c r="J179" s="52"/>
    </row>
    <row r="180" spans="1:10" ht="15.6" x14ac:dyDescent="0.25">
      <c r="A180" s="46">
        <v>23</v>
      </c>
      <c r="B180" s="97"/>
      <c r="C180" s="98"/>
      <c r="D180" s="98"/>
      <c r="E180" s="98"/>
      <c r="F180" s="98"/>
      <c r="G180" s="98"/>
      <c r="H180" s="59"/>
      <c r="I180" s="25">
        <f ca="1">IF(COUNTIFS(H181:H185,"&gt;0") &gt; 3, FLOOR((SUM(H181:H185)-MIN(H181,H182,H183,H184,H185))/4,0.0001), )</f>
        <v>0</v>
      </c>
      <c r="J180" s="26" t="str">
        <f ca="1">IF(I180=0,"",RANK(I180,$I$4:$I$224,))</f>
        <v/>
      </c>
    </row>
    <row r="181" spans="1:10" ht="13.2" x14ac:dyDescent="0.25">
      <c r="A181" s="52"/>
      <c r="B181" s="48">
        <v>1</v>
      </c>
      <c r="C181" s="49"/>
      <c r="D181" s="50"/>
      <c r="E181" s="60"/>
      <c r="F181" s="60"/>
      <c r="G181" s="60"/>
      <c r="H181" s="61">
        <f ca="1">IFERROR(__xludf.DUMMYFUNCTION("MAX(IF(REGEXMATCH(E181,""^\d{1},\d{2}$""),VALUE(E181),0),IF(REGEXMATCH(F181,""^\d{1},\d{2}$""),VALUE(F181),0),IF(REGEXMATCH(G181,""^\d{1},\d{2}$""),VALUE(G181),0))"),0)</f>
        <v>0</v>
      </c>
      <c r="I181" s="51"/>
      <c r="J181" s="52"/>
    </row>
    <row r="182" spans="1:10" ht="13.2" x14ac:dyDescent="0.25">
      <c r="A182" s="52"/>
      <c r="B182" s="48">
        <v>2</v>
      </c>
      <c r="C182" s="49"/>
      <c r="D182" s="50"/>
      <c r="E182" s="60"/>
      <c r="F182" s="60"/>
      <c r="G182" s="60"/>
      <c r="H182" s="61">
        <f ca="1">IFERROR(__xludf.DUMMYFUNCTION("MAX(IF(REGEXMATCH(E182,""^\d{1},\d{2}$""),VALUE(E182),0),IF(REGEXMATCH(F182,""^\d{1},\d{2}$""),VALUE(F182),0),IF(REGEXMATCH(G182,""^\d{1},\d{2}$""),VALUE(G182),0))"),0)</f>
        <v>0</v>
      </c>
      <c r="I182" s="51"/>
      <c r="J182" s="52"/>
    </row>
    <row r="183" spans="1:10" ht="13.2" x14ac:dyDescent="0.25">
      <c r="A183" s="52"/>
      <c r="B183" s="48">
        <v>3</v>
      </c>
      <c r="C183" s="49"/>
      <c r="D183" s="50"/>
      <c r="E183" s="60"/>
      <c r="F183" s="60"/>
      <c r="G183" s="60"/>
      <c r="H183" s="61">
        <f ca="1">IFERROR(__xludf.DUMMYFUNCTION("MAX(IF(REGEXMATCH(E183,""^\d{1},\d{2}$""),VALUE(E183),0),IF(REGEXMATCH(F183,""^\d{1},\d{2}$""),VALUE(F183),0),IF(REGEXMATCH(G183,""^\d{1},\d{2}$""),VALUE(G183),0))"),0)</f>
        <v>0</v>
      </c>
      <c r="I183" s="51"/>
      <c r="J183" s="52"/>
    </row>
    <row r="184" spans="1:10" ht="13.2" x14ac:dyDescent="0.25">
      <c r="A184" s="52"/>
      <c r="B184" s="48">
        <v>4</v>
      </c>
      <c r="C184" s="49"/>
      <c r="D184" s="50"/>
      <c r="E184" s="60"/>
      <c r="F184" s="60"/>
      <c r="G184" s="60"/>
      <c r="H184" s="61">
        <f ca="1">IFERROR(__xludf.DUMMYFUNCTION("MAX(IF(REGEXMATCH(E184,""^\d{1},\d{2}$""),VALUE(E184),0),IF(REGEXMATCH(F184,""^\d{1},\d{2}$""),VALUE(F184),0),IF(REGEXMATCH(G184,""^\d{1},\d{2}$""),VALUE(G184),0))"),0)</f>
        <v>0</v>
      </c>
      <c r="I184" s="51"/>
      <c r="J184" s="52"/>
    </row>
    <row r="185" spans="1:10" ht="13.2" x14ac:dyDescent="0.25">
      <c r="A185" s="52"/>
      <c r="B185" s="48">
        <v>5</v>
      </c>
      <c r="C185" s="49"/>
      <c r="D185" s="50"/>
      <c r="E185" s="60"/>
      <c r="F185" s="60"/>
      <c r="G185" s="60"/>
      <c r="H185" s="61">
        <f ca="1">IFERROR(__xludf.DUMMYFUNCTION("MAX(IF(REGEXMATCH(E185,""^\d{1},\d{2}$""),VALUE(E185),0),IF(REGEXMATCH(F185,""^\d{1},\d{2}$""),VALUE(F185),0),IF(REGEXMATCH(G185,""^\d{1},\d{2}$""),VALUE(G185),0))"),0)</f>
        <v>0</v>
      </c>
      <c r="I185" s="51"/>
      <c r="J185" s="52"/>
    </row>
    <row r="186" spans="1:10" ht="13.2" x14ac:dyDescent="0.25">
      <c r="A186" s="52"/>
      <c r="B186" s="62" t="s">
        <v>18</v>
      </c>
      <c r="C186" s="36"/>
      <c r="D186" s="44"/>
      <c r="E186" s="38"/>
      <c r="F186" s="38"/>
      <c r="G186" s="38"/>
      <c r="H186" s="63"/>
      <c r="I186" s="51"/>
      <c r="J186" s="52"/>
    </row>
    <row r="187" spans="1:10" ht="13.2" x14ac:dyDescent="0.25">
      <c r="A187" s="52"/>
      <c r="B187" s="52"/>
      <c r="C187" s="52"/>
      <c r="D187" s="53"/>
      <c r="E187" s="53"/>
      <c r="F187" s="53"/>
      <c r="G187" s="53"/>
      <c r="H187" s="64"/>
      <c r="I187" s="51"/>
      <c r="J187" s="52"/>
    </row>
    <row r="188" spans="1:10" ht="15.6" x14ac:dyDescent="0.25">
      <c r="A188" s="46">
        <v>24</v>
      </c>
      <c r="B188" s="97"/>
      <c r="C188" s="98"/>
      <c r="D188" s="98"/>
      <c r="E188" s="98"/>
      <c r="F188" s="98"/>
      <c r="G188" s="98"/>
      <c r="H188" s="59"/>
      <c r="I188" s="25">
        <f ca="1">IF(COUNTIFS(H189:H193,"&gt;0") &gt; 3, FLOOR((SUM(H189:H193)-MIN(H189,H190,H191,H192,H193))/4,0.0001), )</f>
        <v>0</v>
      </c>
      <c r="J188" s="26" t="str">
        <f ca="1">IF(I188=0,"",RANK(I188,$I$4:$I$224,))</f>
        <v/>
      </c>
    </row>
    <row r="189" spans="1:10" ht="13.2" x14ac:dyDescent="0.25">
      <c r="A189" s="52"/>
      <c r="B189" s="48">
        <v>1</v>
      </c>
      <c r="C189" s="49"/>
      <c r="D189" s="50"/>
      <c r="E189" s="60"/>
      <c r="F189" s="60"/>
      <c r="G189" s="60"/>
      <c r="H189" s="61">
        <f ca="1">IFERROR(__xludf.DUMMYFUNCTION("MAX(IF(REGEXMATCH(E189,""^\d{1},\d{2}$""),VALUE(E189),0),IF(REGEXMATCH(F189,""^\d{1},\d{2}$""),VALUE(F189),0),IF(REGEXMATCH(G189,""^\d{1},\d{2}$""),VALUE(G189),0))"),0)</f>
        <v>0</v>
      </c>
      <c r="I189" s="51"/>
      <c r="J189" s="52"/>
    </row>
    <row r="190" spans="1:10" ht="13.2" x14ac:dyDescent="0.25">
      <c r="A190" s="52"/>
      <c r="B190" s="48">
        <v>2</v>
      </c>
      <c r="C190" s="49"/>
      <c r="D190" s="50"/>
      <c r="E190" s="60"/>
      <c r="F190" s="60"/>
      <c r="G190" s="60"/>
      <c r="H190" s="61">
        <f ca="1">IFERROR(__xludf.DUMMYFUNCTION("MAX(IF(REGEXMATCH(E190,""^\d{1},\d{2}$""),VALUE(E190),0),IF(REGEXMATCH(F190,""^\d{1},\d{2}$""),VALUE(F190),0),IF(REGEXMATCH(G190,""^\d{1},\d{2}$""),VALUE(G190),0))"),0)</f>
        <v>0</v>
      </c>
      <c r="I190" s="51"/>
      <c r="J190" s="52"/>
    </row>
    <row r="191" spans="1:10" ht="13.2" x14ac:dyDescent="0.25">
      <c r="A191" s="52"/>
      <c r="B191" s="48">
        <v>3</v>
      </c>
      <c r="C191" s="49"/>
      <c r="D191" s="50"/>
      <c r="E191" s="60"/>
      <c r="F191" s="60"/>
      <c r="G191" s="60"/>
      <c r="H191" s="61">
        <f ca="1">IFERROR(__xludf.DUMMYFUNCTION("MAX(IF(REGEXMATCH(E191,""^\d{1},\d{2}$""),VALUE(E191),0),IF(REGEXMATCH(F191,""^\d{1},\d{2}$""),VALUE(F191),0),IF(REGEXMATCH(G191,""^\d{1},\d{2}$""),VALUE(G191),0))"),0)</f>
        <v>0</v>
      </c>
      <c r="I191" s="51"/>
      <c r="J191" s="52"/>
    </row>
    <row r="192" spans="1:10" ht="13.2" x14ac:dyDescent="0.25">
      <c r="A192" s="52"/>
      <c r="B192" s="48">
        <v>4</v>
      </c>
      <c r="C192" s="49"/>
      <c r="D192" s="50"/>
      <c r="E192" s="60"/>
      <c r="F192" s="60"/>
      <c r="G192" s="60"/>
      <c r="H192" s="61">
        <f ca="1">IFERROR(__xludf.DUMMYFUNCTION("MAX(IF(REGEXMATCH(E192,""^\d{1},\d{2}$""),VALUE(E192),0),IF(REGEXMATCH(F192,""^\d{1},\d{2}$""),VALUE(F192),0),IF(REGEXMATCH(G192,""^\d{1},\d{2}$""),VALUE(G192),0))"),0)</f>
        <v>0</v>
      </c>
      <c r="I192" s="51"/>
      <c r="J192" s="52"/>
    </row>
    <row r="193" spans="1:10" ht="13.2" x14ac:dyDescent="0.25">
      <c r="A193" s="52"/>
      <c r="B193" s="48">
        <v>5</v>
      </c>
      <c r="C193" s="49"/>
      <c r="D193" s="50"/>
      <c r="E193" s="60"/>
      <c r="F193" s="60"/>
      <c r="G193" s="60"/>
      <c r="H193" s="61">
        <f ca="1">IFERROR(__xludf.DUMMYFUNCTION("MAX(IF(REGEXMATCH(E193,""^\d{1},\d{2}$""),VALUE(E193),0),IF(REGEXMATCH(F193,""^\d{1},\d{2}$""),VALUE(F193),0),IF(REGEXMATCH(G193,""^\d{1},\d{2}$""),VALUE(G193),0))"),0)</f>
        <v>0</v>
      </c>
      <c r="I193" s="51"/>
      <c r="J193" s="52"/>
    </row>
    <row r="194" spans="1:10" ht="13.2" x14ac:dyDescent="0.25">
      <c r="A194" s="52"/>
      <c r="B194" s="62" t="s">
        <v>18</v>
      </c>
      <c r="C194" s="36"/>
      <c r="D194" s="44"/>
      <c r="E194" s="38"/>
      <c r="F194" s="38"/>
      <c r="G194" s="38"/>
      <c r="H194" s="63"/>
      <c r="I194" s="51"/>
      <c r="J194" s="52"/>
    </row>
    <row r="195" spans="1:10" ht="13.2" x14ac:dyDescent="0.25">
      <c r="A195" s="52"/>
      <c r="B195" s="52"/>
      <c r="C195" s="52"/>
      <c r="D195" s="53"/>
      <c r="E195" s="53"/>
      <c r="F195" s="53"/>
      <c r="G195" s="53"/>
      <c r="H195" s="64"/>
      <c r="I195" s="51"/>
      <c r="J195" s="52"/>
    </row>
    <row r="196" spans="1:10" ht="15.6" x14ac:dyDescent="0.25">
      <c r="A196" s="46">
        <v>25</v>
      </c>
      <c r="B196" s="97"/>
      <c r="C196" s="98"/>
      <c r="D196" s="98"/>
      <c r="E196" s="98"/>
      <c r="F196" s="98"/>
      <c r="G196" s="98"/>
      <c r="H196" s="59"/>
      <c r="I196" s="25">
        <f ca="1">IF(COUNTIFS(H197:H201,"&gt;0") &gt; 3, FLOOR((SUM(H197:H201)-MIN(H197,H198,H199,H200,H201))/4,0.0001), )</f>
        <v>0</v>
      </c>
      <c r="J196" s="26" t="str">
        <f ca="1">IF(I196=0,"",RANK(I196,$I$4:$I$224,))</f>
        <v/>
      </c>
    </row>
    <row r="197" spans="1:10" ht="13.2" x14ac:dyDescent="0.25">
      <c r="A197" s="52"/>
      <c r="B197" s="48">
        <v>1</v>
      </c>
      <c r="C197" s="49"/>
      <c r="D197" s="50"/>
      <c r="E197" s="60"/>
      <c r="F197" s="60"/>
      <c r="G197" s="60"/>
      <c r="H197" s="61">
        <f ca="1">IFERROR(__xludf.DUMMYFUNCTION("MAX(IF(REGEXMATCH(E197,""^\d{1},\d{2}$""),VALUE(E197),0),IF(REGEXMATCH(F197,""^\d{1},\d{2}$""),VALUE(F197),0),IF(REGEXMATCH(G197,""^\d{1},\d{2}$""),VALUE(G197),0))"),0)</f>
        <v>0</v>
      </c>
      <c r="I197" s="51"/>
      <c r="J197" s="52"/>
    </row>
    <row r="198" spans="1:10" ht="13.2" x14ac:dyDescent="0.25">
      <c r="A198" s="52"/>
      <c r="B198" s="48">
        <v>2</v>
      </c>
      <c r="C198" s="49"/>
      <c r="D198" s="50"/>
      <c r="E198" s="60"/>
      <c r="F198" s="60"/>
      <c r="G198" s="60"/>
      <c r="H198" s="61">
        <f ca="1">IFERROR(__xludf.DUMMYFUNCTION("MAX(IF(REGEXMATCH(E198,""^\d{1},\d{2}$""),VALUE(E198),0),IF(REGEXMATCH(F198,""^\d{1},\d{2}$""),VALUE(F198),0),IF(REGEXMATCH(G198,""^\d{1},\d{2}$""),VALUE(G198),0))"),0)</f>
        <v>0</v>
      </c>
      <c r="I198" s="51"/>
      <c r="J198" s="52"/>
    </row>
    <row r="199" spans="1:10" ht="13.2" x14ac:dyDescent="0.25">
      <c r="A199" s="52"/>
      <c r="B199" s="48">
        <v>3</v>
      </c>
      <c r="C199" s="49"/>
      <c r="D199" s="50"/>
      <c r="E199" s="60"/>
      <c r="F199" s="60"/>
      <c r="G199" s="60"/>
      <c r="H199" s="61">
        <f ca="1">IFERROR(__xludf.DUMMYFUNCTION("MAX(IF(REGEXMATCH(E199,""^\d{1},\d{2}$""),VALUE(E199),0),IF(REGEXMATCH(F199,""^\d{1},\d{2}$""),VALUE(F199),0),IF(REGEXMATCH(G199,""^\d{1},\d{2}$""),VALUE(G199),0))"),0)</f>
        <v>0</v>
      </c>
      <c r="I199" s="51"/>
      <c r="J199" s="52"/>
    </row>
    <row r="200" spans="1:10" ht="13.2" x14ac:dyDescent="0.25">
      <c r="A200" s="52"/>
      <c r="B200" s="48">
        <v>4</v>
      </c>
      <c r="C200" s="49"/>
      <c r="D200" s="50"/>
      <c r="E200" s="60"/>
      <c r="F200" s="60"/>
      <c r="G200" s="60"/>
      <c r="H200" s="61">
        <f ca="1">IFERROR(__xludf.DUMMYFUNCTION("MAX(IF(REGEXMATCH(E200,""^\d{1},\d{2}$""),VALUE(E200),0),IF(REGEXMATCH(F200,""^\d{1},\d{2}$""),VALUE(F200),0),IF(REGEXMATCH(G200,""^\d{1},\d{2}$""),VALUE(G200),0))"),0)</f>
        <v>0</v>
      </c>
      <c r="I200" s="51"/>
      <c r="J200" s="52"/>
    </row>
    <row r="201" spans="1:10" ht="13.2" x14ac:dyDescent="0.25">
      <c r="A201" s="52"/>
      <c r="B201" s="48">
        <v>5</v>
      </c>
      <c r="C201" s="49"/>
      <c r="D201" s="50"/>
      <c r="E201" s="60"/>
      <c r="F201" s="60"/>
      <c r="G201" s="60"/>
      <c r="H201" s="61">
        <f ca="1">IFERROR(__xludf.DUMMYFUNCTION("MAX(IF(REGEXMATCH(E201,""^\d{1},\d{2}$""),VALUE(E201),0),IF(REGEXMATCH(F201,""^\d{1},\d{2}$""),VALUE(F201),0),IF(REGEXMATCH(G201,""^\d{1},\d{2}$""),VALUE(G201),0))"),0)</f>
        <v>0</v>
      </c>
      <c r="I201" s="51"/>
      <c r="J201" s="52"/>
    </row>
    <row r="202" spans="1:10" ht="13.2" x14ac:dyDescent="0.25">
      <c r="A202" s="52"/>
      <c r="B202" s="62" t="s">
        <v>18</v>
      </c>
      <c r="C202" s="36"/>
      <c r="D202" s="44"/>
      <c r="E202" s="38"/>
      <c r="F202" s="38"/>
      <c r="G202" s="38"/>
      <c r="H202" s="63"/>
      <c r="I202" s="51"/>
      <c r="J202" s="52"/>
    </row>
    <row r="203" spans="1:10" ht="13.2" x14ac:dyDescent="0.25">
      <c r="A203" s="17"/>
      <c r="B203" s="17"/>
      <c r="D203" s="18"/>
      <c r="E203" s="18"/>
      <c r="F203" s="18"/>
      <c r="G203" s="18"/>
      <c r="H203" s="58"/>
      <c r="I203" s="21"/>
      <c r="J203" s="22"/>
    </row>
    <row r="204" spans="1:10" ht="13.2" x14ac:dyDescent="0.25">
      <c r="A204" s="17"/>
      <c r="B204" s="17"/>
      <c r="D204" s="18"/>
      <c r="E204" s="18"/>
      <c r="F204" s="18"/>
      <c r="G204" s="18"/>
      <c r="H204" s="58"/>
      <c r="I204" s="21"/>
      <c r="J204" s="22"/>
    </row>
    <row r="205" spans="1:10" ht="13.2" x14ac:dyDescent="0.25">
      <c r="A205" s="17"/>
      <c r="B205" s="17"/>
      <c r="D205" s="18"/>
      <c r="E205" s="18"/>
      <c r="F205" s="18"/>
      <c r="G205" s="18"/>
      <c r="H205" s="58"/>
      <c r="I205" s="21"/>
      <c r="J205" s="22"/>
    </row>
    <row r="206" spans="1:10" ht="13.2" x14ac:dyDescent="0.25">
      <c r="A206" s="17"/>
      <c r="B206" s="17"/>
      <c r="D206" s="18"/>
      <c r="E206" s="18"/>
      <c r="F206" s="18"/>
      <c r="G206" s="18"/>
      <c r="H206" s="58"/>
      <c r="I206" s="21"/>
      <c r="J206" s="22"/>
    </row>
    <row r="207" spans="1:10" ht="13.2" x14ac:dyDescent="0.25">
      <c r="A207" s="17"/>
      <c r="B207" s="17"/>
      <c r="D207" s="18"/>
      <c r="E207" s="18"/>
      <c r="F207" s="18"/>
      <c r="G207" s="18"/>
      <c r="H207" s="58"/>
      <c r="I207" s="21"/>
      <c r="J207" s="22"/>
    </row>
    <row r="208" spans="1:10" ht="13.2" x14ac:dyDescent="0.25">
      <c r="A208" s="17"/>
      <c r="B208" s="17"/>
      <c r="D208" s="18"/>
      <c r="E208" s="18"/>
      <c r="F208" s="18"/>
      <c r="G208" s="18"/>
      <c r="H208" s="58"/>
      <c r="I208" s="21"/>
      <c r="J208" s="22"/>
    </row>
    <row r="209" spans="1:10" ht="13.2" x14ac:dyDescent="0.25">
      <c r="A209" s="17"/>
      <c r="B209" s="17"/>
      <c r="D209" s="18"/>
      <c r="E209" s="18"/>
      <c r="F209" s="18"/>
      <c r="G209" s="18"/>
      <c r="H209" s="58"/>
      <c r="I209" s="21"/>
      <c r="J209" s="22"/>
    </row>
    <row r="210" spans="1:10" ht="13.2" x14ac:dyDescent="0.25">
      <c r="A210" s="17"/>
      <c r="B210" s="17"/>
      <c r="D210" s="18"/>
      <c r="E210" s="18"/>
      <c r="F210" s="18"/>
      <c r="G210" s="18"/>
      <c r="H210" s="58"/>
      <c r="I210" s="21"/>
      <c r="J210" s="22"/>
    </row>
    <row r="211" spans="1:10" ht="13.2" x14ac:dyDescent="0.25">
      <c r="A211" s="17"/>
      <c r="B211" s="17"/>
      <c r="D211" s="18"/>
      <c r="E211" s="18"/>
      <c r="F211" s="18"/>
      <c r="G211" s="18"/>
      <c r="H211" s="58"/>
      <c r="I211" s="21"/>
      <c r="J211" s="22"/>
    </row>
    <row r="212" spans="1:10" ht="13.2" x14ac:dyDescent="0.25">
      <c r="A212" s="17"/>
      <c r="B212" s="17"/>
      <c r="D212" s="18"/>
      <c r="E212" s="18"/>
      <c r="F212" s="18"/>
      <c r="G212" s="18"/>
      <c r="H212" s="58"/>
      <c r="I212" s="21"/>
      <c r="J212" s="22"/>
    </row>
    <row r="213" spans="1:10" ht="13.2" x14ac:dyDescent="0.25">
      <c r="A213" s="17"/>
      <c r="B213" s="17"/>
      <c r="D213" s="18"/>
      <c r="E213" s="18"/>
      <c r="F213" s="18"/>
      <c r="G213" s="18"/>
      <c r="H213" s="58"/>
      <c r="I213" s="21"/>
      <c r="J213" s="22"/>
    </row>
    <row r="214" spans="1:10" ht="13.2" x14ac:dyDescent="0.25">
      <c r="A214" s="17"/>
      <c r="B214" s="17"/>
      <c r="D214" s="18"/>
      <c r="E214" s="18"/>
      <c r="F214" s="18"/>
      <c r="G214" s="18"/>
      <c r="H214" s="58"/>
      <c r="I214" s="21"/>
      <c r="J214" s="22"/>
    </row>
    <row r="215" spans="1:10" ht="13.2" x14ac:dyDescent="0.25">
      <c r="A215" s="17"/>
      <c r="B215" s="17"/>
      <c r="D215" s="18"/>
      <c r="E215" s="18"/>
      <c r="F215" s="18"/>
      <c r="G215" s="18"/>
      <c r="H215" s="58"/>
      <c r="I215" s="21"/>
      <c r="J215" s="22"/>
    </row>
    <row r="216" spans="1:10" ht="13.2" x14ac:dyDescent="0.25">
      <c r="A216" s="17"/>
      <c r="B216" s="17"/>
      <c r="D216" s="18"/>
      <c r="E216" s="18"/>
      <c r="F216" s="18"/>
      <c r="G216" s="18"/>
      <c r="H216" s="58"/>
      <c r="I216" s="21"/>
      <c r="J216" s="22"/>
    </row>
    <row r="217" spans="1:10" ht="13.2" x14ac:dyDescent="0.25">
      <c r="A217" s="17"/>
      <c r="B217" s="17"/>
      <c r="D217" s="18"/>
      <c r="E217" s="18"/>
      <c r="F217" s="18"/>
      <c r="G217" s="18"/>
      <c r="H217" s="58"/>
      <c r="I217" s="21"/>
      <c r="J217" s="22"/>
    </row>
    <row r="218" spans="1:10" ht="13.2" x14ac:dyDescent="0.25">
      <c r="A218" s="17"/>
      <c r="B218" s="17"/>
      <c r="D218" s="18"/>
      <c r="E218" s="18"/>
      <c r="F218" s="18"/>
      <c r="G218" s="18"/>
      <c r="H218" s="58"/>
      <c r="I218" s="21"/>
      <c r="J218" s="22"/>
    </row>
    <row r="219" spans="1:10" ht="13.2" x14ac:dyDescent="0.25">
      <c r="A219" s="17"/>
      <c r="B219" s="17"/>
      <c r="D219" s="18"/>
      <c r="E219" s="18"/>
      <c r="F219" s="18"/>
      <c r="G219" s="18"/>
      <c r="H219" s="58"/>
      <c r="I219" s="21"/>
      <c r="J219" s="22"/>
    </row>
    <row r="220" spans="1:10" ht="13.2" x14ac:dyDescent="0.25">
      <c r="A220" s="17"/>
      <c r="B220" s="17"/>
      <c r="D220" s="18"/>
      <c r="E220" s="18"/>
      <c r="F220" s="18"/>
      <c r="G220" s="18"/>
      <c r="H220" s="58"/>
      <c r="I220" s="21"/>
      <c r="J220" s="22"/>
    </row>
    <row r="221" spans="1:10" ht="13.2" x14ac:dyDescent="0.25">
      <c r="A221" s="17"/>
      <c r="B221" s="17"/>
      <c r="D221" s="18"/>
      <c r="E221" s="18"/>
      <c r="F221" s="18"/>
      <c r="G221" s="18"/>
      <c r="H221" s="58"/>
      <c r="I221" s="21"/>
      <c r="J221" s="22"/>
    </row>
    <row r="222" spans="1:10" ht="13.2" x14ac:dyDescent="0.25">
      <c r="A222" s="17"/>
      <c r="B222" s="17"/>
      <c r="D222" s="18"/>
      <c r="E222" s="18"/>
      <c r="F222" s="18"/>
      <c r="G222" s="18"/>
      <c r="H222" s="58"/>
      <c r="I222" s="21"/>
      <c r="J222" s="22"/>
    </row>
    <row r="223" spans="1:10" ht="13.2" x14ac:dyDescent="0.25">
      <c r="A223" s="17"/>
      <c r="B223" s="17"/>
      <c r="D223" s="18"/>
      <c r="E223" s="18"/>
      <c r="F223" s="18"/>
      <c r="G223" s="18"/>
      <c r="H223" s="58"/>
      <c r="I223" s="21"/>
      <c r="J223" s="22"/>
    </row>
    <row r="224" spans="1:10" ht="13.2" x14ac:dyDescent="0.25">
      <c r="A224" s="17"/>
      <c r="B224" s="17"/>
      <c r="D224" s="18"/>
      <c r="E224" s="18"/>
      <c r="F224" s="18"/>
      <c r="G224" s="18"/>
      <c r="H224" s="58"/>
      <c r="I224" s="21"/>
      <c r="J224" s="22"/>
    </row>
    <row r="225" spans="1:10" ht="13.2" x14ac:dyDescent="0.25">
      <c r="A225" s="17"/>
      <c r="B225" s="17"/>
      <c r="D225" s="18"/>
      <c r="E225" s="18"/>
      <c r="F225" s="18"/>
      <c r="G225" s="18"/>
      <c r="H225" s="58"/>
      <c r="I225" s="21"/>
      <c r="J225" s="22"/>
    </row>
    <row r="226" spans="1:10" ht="13.2" x14ac:dyDescent="0.25">
      <c r="A226" s="17"/>
      <c r="B226" s="17"/>
      <c r="D226" s="18"/>
      <c r="E226" s="18"/>
      <c r="F226" s="18"/>
      <c r="G226" s="18"/>
      <c r="H226" s="58"/>
      <c r="I226" s="21"/>
      <c r="J226" s="22"/>
    </row>
    <row r="227" spans="1:10" ht="13.2" x14ac:dyDescent="0.25">
      <c r="A227" s="17"/>
      <c r="B227" s="17"/>
      <c r="D227" s="18"/>
      <c r="E227" s="18"/>
      <c r="F227" s="18"/>
      <c r="G227" s="18"/>
      <c r="H227" s="58"/>
      <c r="I227" s="21"/>
      <c r="J227" s="22"/>
    </row>
    <row r="228" spans="1:10" ht="13.2" x14ac:dyDescent="0.25">
      <c r="A228" s="17"/>
      <c r="B228" s="17"/>
      <c r="D228" s="18"/>
      <c r="E228" s="18"/>
      <c r="F228" s="18"/>
      <c r="G228" s="18"/>
      <c r="H228" s="58"/>
      <c r="I228" s="21"/>
      <c r="J228" s="22"/>
    </row>
    <row r="229" spans="1:10" ht="13.2" x14ac:dyDescent="0.25">
      <c r="A229" s="17"/>
      <c r="B229" s="17"/>
      <c r="D229" s="18"/>
      <c r="E229" s="18"/>
      <c r="F229" s="18"/>
      <c r="G229" s="18"/>
      <c r="H229" s="58"/>
      <c r="I229" s="21"/>
      <c r="J229" s="22"/>
    </row>
    <row r="230" spans="1:10" ht="13.2" x14ac:dyDescent="0.25">
      <c r="A230" s="17"/>
      <c r="B230" s="17"/>
      <c r="D230" s="18"/>
      <c r="E230" s="18"/>
      <c r="F230" s="18"/>
      <c r="G230" s="18"/>
      <c r="H230" s="58"/>
      <c r="I230" s="21"/>
      <c r="J230" s="22"/>
    </row>
    <row r="231" spans="1:10" ht="13.2" x14ac:dyDescent="0.25">
      <c r="A231" s="17"/>
      <c r="B231" s="17"/>
      <c r="D231" s="18"/>
      <c r="E231" s="18"/>
      <c r="F231" s="18"/>
      <c r="G231" s="18"/>
      <c r="H231" s="58"/>
      <c r="I231" s="21"/>
      <c r="J231" s="22"/>
    </row>
    <row r="232" spans="1:10" ht="13.2" x14ac:dyDescent="0.25">
      <c r="A232" s="17"/>
      <c r="B232" s="17"/>
      <c r="D232" s="18"/>
      <c r="E232" s="18"/>
      <c r="F232" s="18"/>
      <c r="G232" s="18"/>
      <c r="H232" s="58"/>
      <c r="I232" s="21"/>
      <c r="J232" s="22"/>
    </row>
    <row r="233" spans="1:10" ht="13.2" x14ac:dyDescent="0.25">
      <c r="A233" s="17"/>
      <c r="B233" s="17"/>
      <c r="D233" s="18"/>
      <c r="E233" s="18"/>
      <c r="F233" s="18"/>
      <c r="G233" s="18"/>
      <c r="H233" s="58"/>
      <c r="I233" s="21"/>
      <c r="J233" s="22"/>
    </row>
    <row r="234" spans="1:10" ht="13.2" x14ac:dyDescent="0.25">
      <c r="A234" s="17"/>
      <c r="B234" s="17"/>
      <c r="D234" s="18"/>
      <c r="E234" s="18"/>
      <c r="F234" s="18"/>
      <c r="G234" s="18"/>
      <c r="H234" s="58"/>
      <c r="I234" s="21"/>
      <c r="J234" s="22"/>
    </row>
    <row r="235" spans="1:10" ht="13.2" x14ac:dyDescent="0.25">
      <c r="A235" s="17"/>
      <c r="B235" s="17"/>
      <c r="D235" s="18"/>
      <c r="E235" s="18"/>
      <c r="F235" s="18"/>
      <c r="G235" s="18"/>
      <c r="H235" s="58"/>
      <c r="I235" s="21"/>
      <c r="J235" s="22"/>
    </row>
    <row r="236" spans="1:10" ht="13.2" x14ac:dyDescent="0.25">
      <c r="A236" s="17"/>
      <c r="B236" s="17"/>
      <c r="D236" s="18"/>
      <c r="E236" s="18"/>
      <c r="F236" s="18"/>
      <c r="G236" s="18"/>
      <c r="H236" s="58"/>
      <c r="I236" s="21"/>
      <c r="J236" s="22"/>
    </row>
    <row r="237" spans="1:10" ht="13.2" x14ac:dyDescent="0.25">
      <c r="A237" s="17"/>
      <c r="B237" s="17"/>
      <c r="D237" s="18"/>
      <c r="E237" s="18"/>
      <c r="F237" s="18"/>
      <c r="G237" s="18"/>
      <c r="H237" s="58"/>
      <c r="I237" s="21"/>
      <c r="J237" s="22"/>
    </row>
    <row r="238" spans="1:10" ht="13.2" x14ac:dyDescent="0.25">
      <c r="A238" s="17"/>
      <c r="B238" s="17"/>
      <c r="D238" s="18"/>
      <c r="E238" s="18"/>
      <c r="F238" s="18"/>
      <c r="G238" s="18"/>
      <c r="H238" s="58"/>
      <c r="I238" s="21"/>
      <c r="J238" s="22"/>
    </row>
    <row r="239" spans="1:10" ht="13.2" x14ac:dyDescent="0.25">
      <c r="A239" s="17"/>
      <c r="B239" s="17"/>
      <c r="D239" s="18"/>
      <c r="E239" s="18"/>
      <c r="F239" s="18"/>
      <c r="G239" s="18"/>
      <c r="H239" s="58"/>
      <c r="I239" s="21"/>
      <c r="J239" s="22"/>
    </row>
    <row r="240" spans="1:10" ht="13.2" x14ac:dyDescent="0.25">
      <c r="A240" s="17"/>
      <c r="B240" s="17"/>
      <c r="D240" s="18"/>
      <c r="E240" s="18"/>
      <c r="F240" s="18"/>
      <c r="G240" s="18"/>
      <c r="H240" s="58"/>
      <c r="I240" s="21"/>
      <c r="J240" s="22"/>
    </row>
    <row r="241" spans="1:10" ht="13.2" x14ac:dyDescent="0.25">
      <c r="A241" s="17"/>
      <c r="B241" s="17"/>
      <c r="D241" s="18"/>
      <c r="E241" s="18"/>
      <c r="F241" s="18"/>
      <c r="G241" s="18"/>
      <c r="H241" s="58"/>
      <c r="I241" s="21"/>
      <c r="J241" s="22"/>
    </row>
    <row r="242" spans="1:10" ht="13.2" x14ac:dyDescent="0.25">
      <c r="A242" s="17"/>
      <c r="B242" s="17"/>
      <c r="D242" s="18"/>
      <c r="E242" s="18"/>
      <c r="F242" s="18"/>
      <c r="G242" s="18"/>
      <c r="H242" s="58"/>
      <c r="I242" s="21"/>
      <c r="J242" s="22"/>
    </row>
    <row r="243" spans="1:10" ht="13.2" x14ac:dyDescent="0.25">
      <c r="A243" s="17"/>
      <c r="B243" s="17"/>
      <c r="D243" s="18"/>
      <c r="E243" s="18"/>
      <c r="F243" s="18"/>
      <c r="G243" s="18"/>
      <c r="H243" s="58"/>
      <c r="I243" s="21"/>
      <c r="J243" s="22"/>
    </row>
    <row r="244" spans="1:10" ht="13.2" x14ac:dyDescent="0.25">
      <c r="A244" s="17"/>
      <c r="B244" s="17"/>
      <c r="D244" s="18"/>
      <c r="E244" s="18"/>
      <c r="F244" s="18"/>
      <c r="G244" s="18"/>
      <c r="H244" s="58"/>
      <c r="I244" s="21"/>
      <c r="J244" s="22"/>
    </row>
    <row r="245" spans="1:10" ht="13.2" x14ac:dyDescent="0.25">
      <c r="A245" s="17"/>
      <c r="B245" s="17"/>
      <c r="D245" s="18"/>
      <c r="E245" s="18"/>
      <c r="F245" s="18"/>
      <c r="G245" s="18"/>
      <c r="H245" s="58"/>
      <c r="I245" s="21"/>
      <c r="J245" s="22"/>
    </row>
    <row r="246" spans="1:10" ht="13.2" x14ac:dyDescent="0.25">
      <c r="A246" s="17"/>
      <c r="B246" s="17"/>
      <c r="D246" s="18"/>
      <c r="E246" s="18"/>
      <c r="F246" s="18"/>
      <c r="G246" s="18"/>
      <c r="H246" s="58"/>
      <c r="I246" s="21"/>
      <c r="J246" s="22"/>
    </row>
    <row r="247" spans="1:10" ht="13.2" x14ac:dyDescent="0.25">
      <c r="A247" s="17"/>
      <c r="B247" s="17"/>
      <c r="D247" s="18"/>
      <c r="E247" s="18"/>
      <c r="F247" s="18"/>
      <c r="G247" s="18"/>
      <c r="H247" s="58"/>
      <c r="I247" s="21"/>
      <c r="J247" s="22"/>
    </row>
    <row r="248" spans="1:10" ht="13.2" x14ac:dyDescent="0.25">
      <c r="A248" s="17"/>
      <c r="B248" s="17"/>
      <c r="D248" s="18"/>
      <c r="E248" s="18"/>
      <c r="F248" s="18"/>
      <c r="G248" s="18"/>
      <c r="H248" s="58"/>
      <c r="I248" s="21"/>
      <c r="J248" s="22"/>
    </row>
    <row r="249" spans="1:10" ht="13.2" x14ac:dyDescent="0.25">
      <c r="A249" s="17"/>
      <c r="B249" s="17"/>
      <c r="D249" s="18"/>
      <c r="E249" s="18"/>
      <c r="F249" s="18"/>
      <c r="G249" s="18"/>
      <c r="H249" s="58"/>
      <c r="I249" s="21"/>
      <c r="J249" s="22"/>
    </row>
    <row r="250" spans="1:10" ht="13.2" x14ac:dyDescent="0.25">
      <c r="A250" s="17"/>
      <c r="B250" s="17"/>
      <c r="D250" s="18"/>
      <c r="E250" s="18"/>
      <c r="F250" s="18"/>
      <c r="G250" s="18"/>
      <c r="H250" s="58"/>
      <c r="I250" s="21"/>
      <c r="J250" s="22"/>
    </row>
    <row r="251" spans="1:10" ht="13.2" x14ac:dyDescent="0.25">
      <c r="A251" s="17"/>
      <c r="B251" s="17"/>
      <c r="D251" s="18"/>
      <c r="E251" s="18"/>
      <c r="F251" s="18"/>
      <c r="G251" s="18"/>
      <c r="H251" s="58"/>
      <c r="I251" s="21"/>
      <c r="J251" s="22"/>
    </row>
    <row r="252" spans="1:10" ht="13.2" x14ac:dyDescent="0.25">
      <c r="A252" s="17"/>
      <c r="B252" s="17"/>
      <c r="D252" s="18"/>
      <c r="E252" s="18"/>
      <c r="F252" s="18"/>
      <c r="G252" s="18"/>
      <c r="H252" s="58"/>
      <c r="I252" s="21"/>
      <c r="J252" s="22"/>
    </row>
    <row r="253" spans="1:10" ht="13.2" x14ac:dyDescent="0.25">
      <c r="A253" s="17"/>
      <c r="B253" s="17"/>
      <c r="D253" s="18"/>
      <c r="E253" s="18"/>
      <c r="F253" s="18"/>
      <c r="G253" s="18"/>
      <c r="H253" s="58"/>
      <c r="I253" s="21"/>
      <c r="J253" s="22"/>
    </row>
    <row r="254" spans="1:10" ht="13.2" x14ac:dyDescent="0.25">
      <c r="A254" s="17"/>
      <c r="B254" s="17"/>
      <c r="D254" s="18"/>
      <c r="E254" s="18"/>
      <c r="F254" s="18"/>
      <c r="G254" s="18"/>
      <c r="H254" s="58"/>
      <c r="I254" s="21"/>
      <c r="J254" s="22"/>
    </row>
    <row r="255" spans="1:10" ht="13.2" x14ac:dyDescent="0.25">
      <c r="A255" s="17"/>
      <c r="B255" s="17"/>
      <c r="D255" s="18"/>
      <c r="E255" s="18"/>
      <c r="F255" s="18"/>
      <c r="G255" s="18"/>
      <c r="H255" s="58"/>
      <c r="I255" s="21"/>
      <c r="J255" s="22"/>
    </row>
    <row r="256" spans="1:10" ht="13.2" x14ac:dyDescent="0.25">
      <c r="A256" s="17"/>
      <c r="B256" s="17"/>
      <c r="D256" s="18"/>
      <c r="E256" s="18"/>
      <c r="F256" s="18"/>
      <c r="G256" s="18"/>
      <c r="H256" s="58"/>
      <c r="I256" s="21"/>
      <c r="J256" s="22"/>
    </row>
    <row r="257" spans="1:10" ht="13.2" x14ac:dyDescent="0.25">
      <c r="A257" s="17"/>
      <c r="B257" s="17"/>
      <c r="D257" s="18"/>
      <c r="E257" s="18"/>
      <c r="F257" s="18"/>
      <c r="G257" s="18"/>
      <c r="H257" s="58"/>
      <c r="I257" s="21"/>
      <c r="J257" s="22"/>
    </row>
    <row r="258" spans="1:10" ht="13.2" x14ac:dyDescent="0.25">
      <c r="A258" s="17"/>
      <c r="B258" s="17"/>
      <c r="D258" s="18"/>
      <c r="E258" s="18"/>
      <c r="F258" s="18"/>
      <c r="G258" s="18"/>
      <c r="H258" s="58"/>
      <c r="I258" s="21"/>
      <c r="J258" s="22"/>
    </row>
    <row r="259" spans="1:10" ht="13.2" x14ac:dyDescent="0.25">
      <c r="A259" s="17"/>
      <c r="B259" s="17"/>
      <c r="D259" s="18"/>
      <c r="E259" s="18"/>
      <c r="F259" s="18"/>
      <c r="G259" s="18"/>
      <c r="H259" s="58"/>
      <c r="I259" s="21"/>
      <c r="J259" s="22"/>
    </row>
    <row r="260" spans="1:10" ht="13.2" x14ac:dyDescent="0.25">
      <c r="A260" s="17"/>
      <c r="B260" s="17"/>
      <c r="D260" s="18"/>
      <c r="E260" s="18"/>
      <c r="F260" s="18"/>
      <c r="G260" s="18"/>
      <c r="H260" s="58"/>
      <c r="I260" s="21"/>
      <c r="J260" s="22"/>
    </row>
    <row r="261" spans="1:10" ht="13.2" x14ac:dyDescent="0.25">
      <c r="A261" s="17"/>
      <c r="B261" s="17"/>
      <c r="D261" s="18"/>
      <c r="E261" s="18"/>
      <c r="F261" s="18"/>
      <c r="G261" s="18"/>
      <c r="H261" s="58"/>
      <c r="I261" s="21"/>
      <c r="J261" s="22"/>
    </row>
    <row r="262" spans="1:10" ht="13.2" x14ac:dyDescent="0.25">
      <c r="A262" s="17"/>
      <c r="B262" s="17"/>
      <c r="D262" s="18"/>
      <c r="E262" s="18"/>
      <c r="F262" s="18"/>
      <c r="G262" s="18"/>
      <c r="H262" s="58"/>
      <c r="I262" s="21"/>
      <c r="J262" s="22"/>
    </row>
    <row r="263" spans="1:10" ht="13.2" x14ac:dyDescent="0.25">
      <c r="A263" s="17"/>
      <c r="B263" s="17"/>
      <c r="D263" s="18"/>
      <c r="E263" s="18"/>
      <c r="F263" s="18"/>
      <c r="G263" s="18"/>
      <c r="H263" s="58"/>
      <c r="I263" s="21"/>
      <c r="J263" s="22"/>
    </row>
    <row r="264" spans="1:10" ht="13.2" x14ac:dyDescent="0.25">
      <c r="A264" s="17"/>
      <c r="B264" s="17"/>
      <c r="D264" s="18"/>
      <c r="E264" s="18"/>
      <c r="F264" s="18"/>
      <c r="G264" s="18"/>
      <c r="H264" s="58"/>
      <c r="I264" s="21"/>
      <c r="J264" s="22"/>
    </row>
    <row r="265" spans="1:10" ht="13.2" x14ac:dyDescent="0.25">
      <c r="A265" s="17"/>
      <c r="B265" s="17"/>
      <c r="D265" s="18"/>
      <c r="E265" s="18"/>
      <c r="F265" s="18"/>
      <c r="G265" s="18"/>
      <c r="H265" s="58"/>
      <c r="I265" s="21"/>
      <c r="J265" s="22"/>
    </row>
    <row r="266" spans="1:10" ht="13.2" x14ac:dyDescent="0.25">
      <c r="A266" s="17"/>
      <c r="B266" s="17"/>
      <c r="D266" s="18"/>
      <c r="E266" s="18"/>
      <c r="F266" s="18"/>
      <c r="G266" s="18"/>
      <c r="H266" s="58"/>
      <c r="I266" s="21"/>
      <c r="J266" s="22"/>
    </row>
    <row r="267" spans="1:10" ht="13.2" x14ac:dyDescent="0.25">
      <c r="A267" s="17"/>
      <c r="B267" s="17"/>
      <c r="D267" s="18"/>
      <c r="E267" s="18"/>
      <c r="F267" s="18"/>
      <c r="G267" s="18"/>
      <c r="H267" s="58"/>
      <c r="I267" s="21"/>
      <c r="J267" s="22"/>
    </row>
    <row r="268" spans="1:10" ht="13.2" x14ac:dyDescent="0.25">
      <c r="A268" s="17"/>
      <c r="B268" s="17"/>
      <c r="D268" s="18"/>
      <c r="E268" s="18"/>
      <c r="F268" s="18"/>
      <c r="G268" s="18"/>
      <c r="H268" s="58"/>
      <c r="I268" s="21"/>
      <c r="J268" s="22"/>
    </row>
    <row r="269" spans="1:10" ht="13.2" x14ac:dyDescent="0.25">
      <c r="A269" s="17"/>
      <c r="B269" s="17"/>
      <c r="D269" s="18"/>
      <c r="E269" s="18"/>
      <c r="F269" s="18"/>
      <c r="G269" s="18"/>
      <c r="H269" s="58"/>
      <c r="I269" s="21"/>
      <c r="J269" s="22"/>
    </row>
    <row r="270" spans="1:10" ht="13.2" x14ac:dyDescent="0.25">
      <c r="A270" s="17"/>
      <c r="B270" s="17"/>
      <c r="D270" s="18"/>
      <c r="E270" s="18"/>
      <c r="F270" s="18"/>
      <c r="G270" s="18"/>
      <c r="H270" s="58"/>
      <c r="I270" s="21"/>
      <c r="J270" s="22"/>
    </row>
    <row r="271" spans="1:10" ht="13.2" x14ac:dyDescent="0.25">
      <c r="A271" s="17"/>
      <c r="B271" s="17"/>
      <c r="D271" s="18"/>
      <c r="E271" s="18"/>
      <c r="F271" s="18"/>
      <c r="G271" s="18"/>
      <c r="H271" s="58"/>
      <c r="I271" s="21"/>
      <c r="J271" s="22"/>
    </row>
    <row r="272" spans="1:10" ht="13.2" x14ac:dyDescent="0.25">
      <c r="A272" s="17"/>
      <c r="B272" s="17"/>
      <c r="D272" s="18"/>
      <c r="E272" s="18"/>
      <c r="F272" s="18"/>
      <c r="G272" s="18"/>
      <c r="H272" s="58"/>
      <c r="I272" s="21"/>
      <c r="J272" s="22"/>
    </row>
    <row r="273" spans="1:10" ht="13.2" x14ac:dyDescent="0.25">
      <c r="A273" s="17"/>
      <c r="B273" s="17"/>
      <c r="D273" s="18"/>
      <c r="E273" s="18"/>
      <c r="F273" s="18"/>
      <c r="G273" s="18"/>
      <c r="H273" s="58"/>
      <c r="I273" s="21"/>
      <c r="J273" s="22"/>
    </row>
    <row r="274" spans="1:10" ht="13.2" x14ac:dyDescent="0.25">
      <c r="A274" s="17"/>
      <c r="B274" s="17"/>
      <c r="D274" s="18"/>
      <c r="E274" s="18"/>
      <c r="F274" s="18"/>
      <c r="G274" s="18"/>
      <c r="H274" s="58"/>
      <c r="I274" s="21"/>
      <c r="J274" s="22"/>
    </row>
    <row r="275" spans="1:10" ht="13.2" x14ac:dyDescent="0.25">
      <c r="A275" s="17"/>
      <c r="B275" s="17"/>
      <c r="D275" s="18"/>
      <c r="E275" s="18"/>
      <c r="F275" s="18"/>
      <c r="G275" s="18"/>
      <c r="H275" s="58"/>
      <c r="I275" s="21"/>
      <c r="J275" s="22"/>
    </row>
    <row r="276" spans="1:10" ht="13.2" x14ac:dyDescent="0.25">
      <c r="A276" s="17"/>
      <c r="B276" s="17"/>
      <c r="D276" s="18"/>
      <c r="E276" s="18"/>
      <c r="F276" s="18"/>
      <c r="G276" s="18"/>
      <c r="H276" s="58"/>
      <c r="I276" s="21"/>
      <c r="J276" s="22"/>
    </row>
    <row r="277" spans="1:10" ht="13.2" x14ac:dyDescent="0.25">
      <c r="A277" s="17"/>
      <c r="B277" s="17"/>
      <c r="D277" s="18"/>
      <c r="E277" s="18"/>
      <c r="F277" s="18"/>
      <c r="G277" s="18"/>
      <c r="H277" s="58"/>
      <c r="I277" s="21"/>
      <c r="J277" s="22"/>
    </row>
    <row r="278" spans="1:10" ht="13.2" x14ac:dyDescent="0.25">
      <c r="A278" s="17"/>
      <c r="B278" s="17"/>
      <c r="D278" s="18"/>
      <c r="E278" s="18"/>
      <c r="F278" s="18"/>
      <c r="G278" s="18"/>
      <c r="H278" s="58"/>
      <c r="I278" s="21"/>
      <c r="J278" s="22"/>
    </row>
    <row r="279" spans="1:10" ht="13.2" x14ac:dyDescent="0.25">
      <c r="A279" s="17"/>
      <c r="B279" s="17"/>
      <c r="D279" s="18"/>
      <c r="E279" s="18"/>
      <c r="F279" s="18"/>
      <c r="G279" s="18"/>
      <c r="H279" s="58"/>
      <c r="I279" s="21"/>
      <c r="J279" s="22"/>
    </row>
    <row r="280" spans="1:10" ht="13.2" x14ac:dyDescent="0.25">
      <c r="A280" s="17"/>
      <c r="B280" s="17"/>
      <c r="D280" s="18"/>
      <c r="E280" s="18"/>
      <c r="F280" s="18"/>
      <c r="G280" s="18"/>
      <c r="H280" s="58"/>
      <c r="I280" s="21"/>
      <c r="J280" s="22"/>
    </row>
    <row r="281" spans="1:10" ht="13.2" x14ac:dyDescent="0.25">
      <c r="A281" s="17"/>
      <c r="B281" s="17"/>
      <c r="D281" s="18"/>
      <c r="E281" s="18"/>
      <c r="F281" s="18"/>
      <c r="G281" s="18"/>
      <c r="H281" s="58"/>
      <c r="I281" s="21"/>
      <c r="J281" s="22"/>
    </row>
    <row r="282" spans="1:10" ht="13.2" x14ac:dyDescent="0.25">
      <c r="A282" s="17"/>
      <c r="B282" s="17"/>
      <c r="D282" s="18"/>
      <c r="E282" s="18"/>
      <c r="F282" s="18"/>
      <c r="G282" s="18"/>
      <c r="H282" s="58"/>
      <c r="I282" s="21"/>
      <c r="J282" s="22"/>
    </row>
    <row r="283" spans="1:10" ht="13.2" x14ac:dyDescent="0.25">
      <c r="A283" s="17"/>
      <c r="B283" s="17"/>
      <c r="D283" s="18"/>
      <c r="E283" s="18"/>
      <c r="F283" s="18"/>
      <c r="G283" s="18"/>
      <c r="H283" s="58"/>
      <c r="I283" s="21"/>
      <c r="J283" s="22"/>
    </row>
    <row r="284" spans="1:10" ht="13.2" x14ac:dyDescent="0.25">
      <c r="A284" s="17"/>
      <c r="B284" s="17"/>
      <c r="D284" s="18"/>
      <c r="E284" s="18"/>
      <c r="F284" s="18"/>
      <c r="G284" s="18"/>
      <c r="H284" s="58"/>
      <c r="I284" s="21"/>
      <c r="J284" s="22"/>
    </row>
    <row r="285" spans="1:10" ht="13.2" x14ac:dyDescent="0.25">
      <c r="A285" s="17"/>
      <c r="B285" s="17"/>
      <c r="D285" s="18"/>
      <c r="E285" s="18"/>
      <c r="F285" s="18"/>
      <c r="G285" s="18"/>
      <c r="H285" s="58"/>
      <c r="I285" s="21"/>
      <c r="J285" s="22"/>
    </row>
    <row r="286" spans="1:10" ht="13.2" x14ac:dyDescent="0.25">
      <c r="A286" s="17"/>
      <c r="B286" s="17"/>
      <c r="D286" s="18"/>
      <c r="E286" s="18"/>
      <c r="F286" s="18"/>
      <c r="G286" s="18"/>
      <c r="H286" s="58"/>
      <c r="I286" s="21"/>
      <c r="J286" s="22"/>
    </row>
    <row r="287" spans="1:10" ht="13.2" x14ac:dyDescent="0.25">
      <c r="A287" s="17"/>
      <c r="B287" s="17"/>
      <c r="D287" s="18"/>
      <c r="E287" s="18"/>
      <c r="F287" s="18"/>
      <c r="G287" s="18"/>
      <c r="H287" s="58"/>
      <c r="I287" s="21"/>
      <c r="J287" s="22"/>
    </row>
    <row r="288" spans="1:10" ht="13.2" x14ac:dyDescent="0.25">
      <c r="A288" s="17"/>
      <c r="B288" s="17"/>
      <c r="D288" s="18"/>
      <c r="E288" s="18"/>
      <c r="F288" s="18"/>
      <c r="G288" s="18"/>
      <c r="H288" s="58"/>
      <c r="I288" s="21"/>
      <c r="J288" s="22"/>
    </row>
    <row r="289" spans="1:10" ht="13.2" x14ac:dyDescent="0.25">
      <c r="A289" s="17"/>
      <c r="B289" s="17"/>
      <c r="D289" s="18"/>
      <c r="E289" s="18"/>
      <c r="F289" s="18"/>
      <c r="G289" s="18"/>
      <c r="H289" s="58"/>
      <c r="I289" s="21"/>
      <c r="J289" s="22"/>
    </row>
    <row r="290" spans="1:10" ht="13.2" x14ac:dyDescent="0.25">
      <c r="A290" s="17"/>
      <c r="B290" s="17"/>
      <c r="D290" s="18"/>
      <c r="E290" s="18"/>
      <c r="F290" s="18"/>
      <c r="G290" s="18"/>
      <c r="H290" s="58"/>
      <c r="I290" s="21"/>
      <c r="J290" s="22"/>
    </row>
    <row r="291" spans="1:10" ht="13.2" x14ac:dyDescent="0.25">
      <c r="A291" s="17"/>
      <c r="B291" s="17"/>
      <c r="D291" s="18"/>
      <c r="E291" s="18"/>
      <c r="F291" s="18"/>
      <c r="G291" s="18"/>
      <c r="H291" s="58"/>
      <c r="I291" s="21"/>
      <c r="J291" s="22"/>
    </row>
    <row r="292" spans="1:10" ht="13.2" x14ac:dyDescent="0.25">
      <c r="A292" s="17"/>
      <c r="B292" s="17"/>
      <c r="D292" s="18"/>
      <c r="E292" s="18"/>
      <c r="F292" s="18"/>
      <c r="G292" s="18"/>
      <c r="H292" s="58"/>
      <c r="I292" s="21"/>
      <c r="J292" s="22"/>
    </row>
    <row r="293" spans="1:10" ht="13.2" x14ac:dyDescent="0.25">
      <c r="A293" s="17"/>
      <c r="B293" s="17"/>
      <c r="D293" s="18"/>
      <c r="E293" s="18"/>
      <c r="F293" s="18"/>
      <c r="G293" s="18"/>
      <c r="H293" s="58"/>
      <c r="I293" s="21"/>
      <c r="J293" s="22"/>
    </row>
    <row r="294" spans="1:10" ht="13.2" x14ac:dyDescent="0.25">
      <c r="A294" s="17"/>
      <c r="B294" s="17"/>
      <c r="D294" s="18"/>
      <c r="E294" s="18"/>
      <c r="F294" s="18"/>
      <c r="G294" s="18"/>
      <c r="H294" s="58"/>
      <c r="I294" s="21"/>
      <c r="J294" s="22"/>
    </row>
    <row r="295" spans="1:10" ht="13.2" x14ac:dyDescent="0.25">
      <c r="A295" s="17"/>
      <c r="B295" s="17"/>
      <c r="D295" s="18"/>
      <c r="E295" s="18"/>
      <c r="F295" s="18"/>
      <c r="G295" s="18"/>
      <c r="H295" s="58"/>
      <c r="I295" s="21"/>
      <c r="J295" s="22"/>
    </row>
    <row r="296" spans="1:10" ht="13.2" x14ac:dyDescent="0.25">
      <c r="A296" s="17"/>
      <c r="B296" s="17"/>
      <c r="D296" s="18"/>
      <c r="E296" s="18"/>
      <c r="F296" s="18"/>
      <c r="G296" s="18"/>
      <c r="H296" s="58"/>
      <c r="I296" s="21"/>
      <c r="J296" s="22"/>
    </row>
    <row r="297" spans="1:10" ht="13.2" x14ac:dyDescent="0.25">
      <c r="A297" s="17"/>
      <c r="B297" s="17"/>
      <c r="D297" s="18"/>
      <c r="E297" s="18"/>
      <c r="F297" s="18"/>
      <c r="G297" s="18"/>
      <c r="H297" s="58"/>
      <c r="I297" s="21"/>
      <c r="J297" s="22"/>
    </row>
    <row r="298" spans="1:10" ht="13.2" x14ac:dyDescent="0.25">
      <c r="A298" s="17"/>
      <c r="B298" s="17"/>
      <c r="D298" s="18"/>
      <c r="E298" s="18"/>
      <c r="F298" s="18"/>
      <c r="G298" s="18"/>
      <c r="H298" s="58"/>
      <c r="I298" s="21"/>
      <c r="J298" s="22"/>
    </row>
    <row r="299" spans="1:10" ht="13.2" x14ac:dyDescent="0.25">
      <c r="A299" s="17"/>
      <c r="B299" s="17"/>
      <c r="D299" s="18"/>
      <c r="E299" s="18"/>
      <c r="F299" s="18"/>
      <c r="G299" s="18"/>
      <c r="H299" s="58"/>
      <c r="I299" s="21"/>
      <c r="J299" s="22"/>
    </row>
    <row r="300" spans="1:10" ht="13.2" x14ac:dyDescent="0.25">
      <c r="A300" s="17"/>
      <c r="B300" s="17"/>
      <c r="D300" s="18"/>
      <c r="E300" s="18"/>
      <c r="F300" s="18"/>
      <c r="G300" s="18"/>
      <c r="H300" s="58"/>
      <c r="I300" s="21"/>
      <c r="J300" s="22"/>
    </row>
    <row r="301" spans="1:10" ht="13.2" x14ac:dyDescent="0.25">
      <c r="A301" s="17"/>
      <c r="B301" s="17"/>
      <c r="D301" s="18"/>
      <c r="E301" s="18"/>
      <c r="F301" s="18"/>
      <c r="G301" s="18"/>
      <c r="H301" s="58"/>
      <c r="I301" s="21"/>
      <c r="J301" s="22"/>
    </row>
    <row r="302" spans="1:10" ht="13.2" x14ac:dyDescent="0.25">
      <c r="A302" s="17"/>
      <c r="B302" s="17"/>
      <c r="D302" s="18"/>
      <c r="E302" s="18"/>
      <c r="F302" s="18"/>
      <c r="G302" s="18"/>
      <c r="H302" s="58"/>
      <c r="I302" s="21"/>
      <c r="J302" s="22"/>
    </row>
    <row r="303" spans="1:10" ht="13.2" x14ac:dyDescent="0.25">
      <c r="A303" s="17"/>
      <c r="B303" s="17"/>
      <c r="D303" s="18"/>
      <c r="E303" s="18"/>
      <c r="F303" s="18"/>
      <c r="G303" s="18"/>
      <c r="H303" s="58"/>
      <c r="I303" s="21"/>
      <c r="J303" s="22"/>
    </row>
    <row r="304" spans="1:10" ht="13.2" x14ac:dyDescent="0.25">
      <c r="A304" s="17"/>
      <c r="B304" s="17"/>
      <c r="D304" s="18"/>
      <c r="E304" s="18"/>
      <c r="F304" s="18"/>
      <c r="G304" s="18"/>
      <c r="H304" s="58"/>
      <c r="I304" s="21"/>
      <c r="J304" s="22"/>
    </row>
    <row r="305" spans="1:10" ht="13.2" x14ac:dyDescent="0.25">
      <c r="A305" s="17"/>
      <c r="B305" s="17"/>
      <c r="D305" s="18"/>
      <c r="E305" s="18"/>
      <c r="F305" s="18"/>
      <c r="G305" s="18"/>
      <c r="H305" s="58"/>
      <c r="I305" s="21"/>
      <c r="J305" s="22"/>
    </row>
    <row r="306" spans="1:10" ht="13.2" x14ac:dyDescent="0.25">
      <c r="A306" s="17"/>
      <c r="B306" s="17"/>
      <c r="D306" s="18"/>
      <c r="E306" s="18"/>
      <c r="F306" s="18"/>
      <c r="G306" s="18"/>
      <c r="H306" s="58"/>
      <c r="I306" s="21"/>
      <c r="J306" s="22"/>
    </row>
    <row r="307" spans="1:10" ht="13.2" x14ac:dyDescent="0.25">
      <c r="A307" s="17"/>
      <c r="B307" s="17"/>
      <c r="D307" s="18"/>
      <c r="E307" s="18"/>
      <c r="F307" s="18"/>
      <c r="G307" s="18"/>
      <c r="H307" s="58"/>
      <c r="I307" s="21"/>
      <c r="J307" s="22"/>
    </row>
    <row r="308" spans="1:10" ht="13.2" x14ac:dyDescent="0.25">
      <c r="A308" s="17"/>
      <c r="B308" s="17"/>
      <c r="D308" s="18"/>
      <c r="E308" s="18"/>
      <c r="F308" s="18"/>
      <c r="G308" s="18"/>
      <c r="H308" s="58"/>
      <c r="I308" s="21"/>
      <c r="J308" s="22"/>
    </row>
    <row r="309" spans="1:10" ht="13.2" x14ac:dyDescent="0.25">
      <c r="A309" s="17"/>
      <c r="B309" s="17"/>
      <c r="D309" s="18"/>
      <c r="E309" s="18"/>
      <c r="F309" s="18"/>
      <c r="G309" s="18"/>
      <c r="H309" s="58"/>
      <c r="I309" s="21"/>
      <c r="J309" s="22"/>
    </row>
    <row r="310" spans="1:10" ht="13.2" x14ac:dyDescent="0.25">
      <c r="A310" s="17"/>
      <c r="B310" s="17"/>
      <c r="D310" s="18"/>
      <c r="E310" s="18"/>
      <c r="F310" s="18"/>
      <c r="G310" s="18"/>
      <c r="H310" s="58"/>
      <c r="I310" s="21"/>
      <c r="J310" s="22"/>
    </row>
    <row r="311" spans="1:10" ht="13.2" x14ac:dyDescent="0.25">
      <c r="A311" s="17"/>
      <c r="B311" s="17"/>
      <c r="D311" s="18"/>
      <c r="E311" s="18"/>
      <c r="F311" s="18"/>
      <c r="G311" s="18"/>
      <c r="H311" s="58"/>
      <c r="I311" s="21"/>
      <c r="J311" s="22"/>
    </row>
    <row r="312" spans="1:10" ht="13.2" x14ac:dyDescent="0.25">
      <c r="A312" s="17"/>
      <c r="B312" s="17"/>
      <c r="D312" s="18"/>
      <c r="E312" s="18"/>
      <c r="F312" s="18"/>
      <c r="G312" s="18"/>
      <c r="H312" s="58"/>
      <c r="I312" s="21"/>
      <c r="J312" s="22"/>
    </row>
    <row r="313" spans="1:10" ht="13.2" x14ac:dyDescent="0.25">
      <c r="A313" s="17"/>
      <c r="B313" s="17"/>
      <c r="D313" s="18"/>
      <c r="E313" s="18"/>
      <c r="F313" s="18"/>
      <c r="G313" s="18"/>
      <c r="H313" s="58"/>
      <c r="I313" s="21"/>
      <c r="J313" s="22"/>
    </row>
    <row r="314" spans="1:10" ht="13.2" x14ac:dyDescent="0.25">
      <c r="A314" s="17"/>
      <c r="B314" s="17"/>
      <c r="D314" s="18"/>
      <c r="E314" s="18"/>
      <c r="F314" s="18"/>
      <c r="G314" s="18"/>
      <c r="H314" s="58"/>
      <c r="I314" s="21"/>
      <c r="J314" s="22"/>
    </row>
    <row r="315" spans="1:10" ht="13.2" x14ac:dyDescent="0.25">
      <c r="A315" s="17"/>
      <c r="B315" s="17"/>
      <c r="D315" s="18"/>
      <c r="E315" s="18"/>
      <c r="F315" s="18"/>
      <c r="G315" s="18"/>
      <c r="H315" s="58"/>
      <c r="I315" s="21"/>
      <c r="J315" s="22"/>
    </row>
    <row r="316" spans="1:10" ht="13.2" x14ac:dyDescent="0.25">
      <c r="A316" s="17"/>
      <c r="B316" s="17"/>
      <c r="D316" s="18"/>
      <c r="E316" s="18"/>
      <c r="F316" s="18"/>
      <c r="G316" s="18"/>
      <c r="H316" s="58"/>
      <c r="I316" s="21"/>
      <c r="J316" s="22"/>
    </row>
    <row r="317" spans="1:10" ht="13.2" x14ac:dyDescent="0.25">
      <c r="A317" s="17"/>
      <c r="B317" s="17"/>
      <c r="D317" s="18"/>
      <c r="E317" s="18"/>
      <c r="F317" s="18"/>
      <c r="G317" s="18"/>
      <c r="H317" s="58"/>
      <c r="I317" s="21"/>
      <c r="J317" s="22"/>
    </row>
    <row r="318" spans="1:10" ht="13.2" x14ac:dyDescent="0.25">
      <c r="A318" s="17"/>
      <c r="B318" s="17"/>
      <c r="D318" s="18"/>
      <c r="E318" s="18"/>
      <c r="F318" s="18"/>
      <c r="G318" s="18"/>
      <c r="H318" s="58"/>
      <c r="I318" s="21"/>
      <c r="J318" s="22"/>
    </row>
    <row r="319" spans="1:10" ht="13.2" x14ac:dyDescent="0.25">
      <c r="A319" s="17"/>
      <c r="B319" s="17"/>
      <c r="D319" s="18"/>
      <c r="E319" s="18"/>
      <c r="F319" s="18"/>
      <c r="G319" s="18"/>
      <c r="H319" s="58"/>
      <c r="I319" s="21"/>
      <c r="J319" s="22"/>
    </row>
    <row r="320" spans="1:10" ht="13.2" x14ac:dyDescent="0.25">
      <c r="A320" s="17"/>
      <c r="B320" s="17"/>
      <c r="D320" s="18"/>
      <c r="E320" s="18"/>
      <c r="F320" s="18"/>
      <c r="G320" s="18"/>
      <c r="H320" s="58"/>
      <c r="I320" s="21"/>
      <c r="J320" s="22"/>
    </row>
    <row r="321" spans="1:10" ht="13.2" x14ac:dyDescent="0.25">
      <c r="A321" s="17"/>
      <c r="B321" s="17"/>
      <c r="D321" s="18"/>
      <c r="E321" s="18"/>
      <c r="F321" s="18"/>
      <c r="G321" s="18"/>
      <c r="H321" s="58"/>
      <c r="I321" s="21"/>
      <c r="J321" s="22"/>
    </row>
    <row r="322" spans="1:10" ht="13.2" x14ac:dyDescent="0.25">
      <c r="A322" s="17"/>
      <c r="B322" s="17"/>
      <c r="D322" s="18"/>
      <c r="E322" s="18"/>
      <c r="F322" s="18"/>
      <c r="G322" s="18"/>
      <c r="H322" s="58"/>
      <c r="I322" s="21"/>
      <c r="J322" s="22"/>
    </row>
    <row r="323" spans="1:10" ht="13.2" x14ac:dyDescent="0.25">
      <c r="A323" s="17"/>
      <c r="B323" s="17"/>
      <c r="D323" s="18"/>
      <c r="E323" s="18"/>
      <c r="F323" s="18"/>
      <c r="G323" s="18"/>
      <c r="H323" s="58"/>
      <c r="I323" s="21"/>
      <c r="J323" s="22"/>
    </row>
    <row r="324" spans="1:10" ht="13.2" x14ac:dyDescent="0.25">
      <c r="A324" s="17"/>
      <c r="B324" s="17"/>
      <c r="D324" s="18"/>
      <c r="E324" s="18"/>
      <c r="F324" s="18"/>
      <c r="G324" s="18"/>
      <c r="H324" s="58"/>
      <c r="I324" s="21"/>
      <c r="J324" s="22"/>
    </row>
    <row r="325" spans="1:10" ht="13.2" x14ac:dyDescent="0.25">
      <c r="A325" s="17"/>
      <c r="B325" s="17"/>
      <c r="D325" s="18"/>
      <c r="E325" s="18"/>
      <c r="F325" s="18"/>
      <c r="G325" s="18"/>
      <c r="H325" s="58"/>
      <c r="I325" s="21"/>
      <c r="J325" s="22"/>
    </row>
    <row r="326" spans="1:10" ht="13.2" x14ac:dyDescent="0.25">
      <c r="A326" s="17"/>
      <c r="B326" s="17"/>
      <c r="D326" s="18"/>
      <c r="E326" s="18"/>
      <c r="F326" s="18"/>
      <c r="G326" s="18"/>
      <c r="H326" s="58"/>
      <c r="I326" s="21"/>
      <c r="J326" s="22"/>
    </row>
    <row r="327" spans="1:10" ht="13.2" x14ac:dyDescent="0.25">
      <c r="A327" s="17"/>
      <c r="B327" s="17"/>
      <c r="D327" s="18"/>
      <c r="E327" s="18"/>
      <c r="F327" s="18"/>
      <c r="G327" s="18"/>
      <c r="H327" s="58"/>
      <c r="I327" s="21"/>
      <c r="J327" s="22"/>
    </row>
    <row r="328" spans="1:10" ht="13.2" x14ac:dyDescent="0.25">
      <c r="A328" s="17"/>
      <c r="B328" s="17"/>
      <c r="D328" s="18"/>
      <c r="E328" s="18"/>
      <c r="F328" s="18"/>
      <c r="G328" s="18"/>
      <c r="H328" s="58"/>
      <c r="I328" s="21"/>
      <c r="J328" s="22"/>
    </row>
    <row r="329" spans="1:10" ht="13.2" x14ac:dyDescent="0.25">
      <c r="A329" s="17"/>
      <c r="B329" s="17"/>
      <c r="D329" s="18"/>
      <c r="E329" s="18"/>
      <c r="F329" s="18"/>
      <c r="G329" s="18"/>
      <c r="H329" s="58"/>
      <c r="I329" s="21"/>
      <c r="J329" s="22"/>
    </row>
    <row r="330" spans="1:10" ht="13.2" x14ac:dyDescent="0.25">
      <c r="A330" s="17"/>
      <c r="B330" s="17"/>
      <c r="D330" s="18"/>
      <c r="E330" s="18"/>
      <c r="F330" s="18"/>
      <c r="G330" s="18"/>
      <c r="H330" s="58"/>
      <c r="I330" s="21"/>
      <c r="J330" s="22"/>
    </row>
    <row r="331" spans="1:10" ht="13.2" x14ac:dyDescent="0.25">
      <c r="A331" s="17"/>
      <c r="B331" s="17"/>
      <c r="D331" s="18"/>
      <c r="E331" s="18"/>
      <c r="F331" s="18"/>
      <c r="G331" s="18"/>
      <c r="H331" s="58"/>
      <c r="I331" s="21"/>
      <c r="J331" s="22"/>
    </row>
    <row r="332" spans="1:10" ht="13.2" x14ac:dyDescent="0.25">
      <c r="A332" s="17"/>
      <c r="B332" s="17"/>
      <c r="D332" s="18"/>
      <c r="E332" s="18"/>
      <c r="F332" s="18"/>
      <c r="G332" s="18"/>
      <c r="H332" s="58"/>
      <c r="I332" s="21"/>
      <c r="J332" s="22"/>
    </row>
    <row r="333" spans="1:10" ht="13.2" x14ac:dyDescent="0.25">
      <c r="A333" s="17"/>
      <c r="B333" s="17"/>
      <c r="D333" s="18"/>
      <c r="E333" s="18"/>
      <c r="F333" s="18"/>
      <c r="G333" s="18"/>
      <c r="H333" s="58"/>
      <c r="I333" s="21"/>
      <c r="J333" s="22"/>
    </row>
    <row r="334" spans="1:10" ht="13.2" x14ac:dyDescent="0.25">
      <c r="A334" s="17"/>
      <c r="B334" s="17"/>
      <c r="D334" s="18"/>
      <c r="E334" s="18"/>
      <c r="F334" s="18"/>
      <c r="G334" s="18"/>
      <c r="H334" s="58"/>
      <c r="I334" s="21"/>
      <c r="J334" s="22"/>
    </row>
    <row r="335" spans="1:10" ht="13.2" x14ac:dyDescent="0.25">
      <c r="A335" s="17"/>
      <c r="B335" s="17"/>
      <c r="D335" s="18"/>
      <c r="E335" s="18"/>
      <c r="F335" s="18"/>
      <c r="G335" s="18"/>
      <c r="H335" s="58"/>
      <c r="I335" s="21"/>
      <c r="J335" s="22"/>
    </row>
    <row r="336" spans="1:10" ht="13.2" x14ac:dyDescent="0.25">
      <c r="A336" s="17"/>
      <c r="B336" s="17"/>
      <c r="D336" s="18"/>
      <c r="E336" s="18"/>
      <c r="F336" s="18"/>
      <c r="G336" s="18"/>
      <c r="H336" s="58"/>
      <c r="I336" s="21"/>
      <c r="J336" s="22"/>
    </row>
    <row r="337" spans="1:10" ht="13.2" x14ac:dyDescent="0.25">
      <c r="A337" s="17"/>
      <c r="B337" s="17"/>
      <c r="D337" s="18"/>
      <c r="E337" s="18"/>
      <c r="F337" s="18"/>
      <c r="G337" s="18"/>
      <c r="H337" s="58"/>
      <c r="I337" s="21"/>
      <c r="J337" s="22"/>
    </row>
    <row r="338" spans="1:10" ht="13.2" x14ac:dyDescent="0.25">
      <c r="A338" s="17"/>
      <c r="B338" s="17"/>
      <c r="D338" s="18"/>
      <c r="E338" s="18"/>
      <c r="F338" s="18"/>
      <c r="G338" s="18"/>
      <c r="H338" s="58"/>
      <c r="I338" s="21"/>
      <c r="J338" s="22"/>
    </row>
    <row r="339" spans="1:10" ht="13.2" x14ac:dyDescent="0.25">
      <c r="A339" s="17"/>
      <c r="B339" s="17"/>
      <c r="D339" s="18"/>
      <c r="E339" s="18"/>
      <c r="F339" s="18"/>
      <c r="G339" s="18"/>
      <c r="H339" s="58"/>
      <c r="I339" s="21"/>
      <c r="J339" s="22"/>
    </row>
    <row r="340" spans="1:10" ht="13.2" x14ac:dyDescent="0.25">
      <c r="A340" s="17"/>
      <c r="B340" s="17"/>
      <c r="D340" s="18"/>
      <c r="E340" s="18"/>
      <c r="F340" s="18"/>
      <c r="G340" s="18"/>
      <c r="H340" s="58"/>
      <c r="I340" s="21"/>
      <c r="J340" s="22"/>
    </row>
    <row r="341" spans="1:10" ht="13.2" x14ac:dyDescent="0.25">
      <c r="A341" s="17"/>
      <c r="B341" s="17"/>
      <c r="D341" s="18"/>
      <c r="E341" s="18"/>
      <c r="F341" s="18"/>
      <c r="G341" s="18"/>
      <c r="H341" s="58"/>
      <c r="I341" s="21"/>
      <c r="J341" s="22"/>
    </row>
    <row r="342" spans="1:10" ht="13.2" x14ac:dyDescent="0.25">
      <c r="A342" s="17"/>
      <c r="B342" s="17"/>
      <c r="D342" s="18"/>
      <c r="E342" s="18"/>
      <c r="F342" s="18"/>
      <c r="G342" s="18"/>
      <c r="H342" s="58"/>
      <c r="I342" s="21"/>
      <c r="J342" s="22"/>
    </row>
    <row r="343" spans="1:10" ht="13.2" x14ac:dyDescent="0.25">
      <c r="A343" s="17"/>
      <c r="B343" s="17"/>
      <c r="D343" s="18"/>
      <c r="E343" s="18"/>
      <c r="F343" s="18"/>
      <c r="G343" s="18"/>
      <c r="H343" s="58"/>
      <c r="I343" s="21"/>
      <c r="J343" s="22"/>
    </row>
    <row r="344" spans="1:10" ht="13.2" x14ac:dyDescent="0.25">
      <c r="A344" s="17"/>
      <c r="B344" s="17"/>
      <c r="D344" s="18"/>
      <c r="E344" s="18"/>
      <c r="F344" s="18"/>
      <c r="G344" s="18"/>
      <c r="H344" s="58"/>
      <c r="I344" s="21"/>
      <c r="J344" s="22"/>
    </row>
    <row r="345" spans="1:10" ht="13.2" x14ac:dyDescent="0.25">
      <c r="A345" s="17"/>
      <c r="B345" s="17"/>
      <c r="D345" s="18"/>
      <c r="E345" s="18"/>
      <c r="F345" s="18"/>
      <c r="G345" s="18"/>
      <c r="H345" s="58"/>
      <c r="I345" s="21"/>
      <c r="J345" s="22"/>
    </row>
    <row r="346" spans="1:10" ht="13.2" x14ac:dyDescent="0.25">
      <c r="A346" s="17"/>
      <c r="B346" s="17"/>
      <c r="D346" s="18"/>
      <c r="E346" s="18"/>
      <c r="F346" s="18"/>
      <c r="G346" s="18"/>
      <c r="H346" s="58"/>
      <c r="I346" s="21"/>
      <c r="J346" s="22"/>
    </row>
    <row r="347" spans="1:10" ht="13.2" x14ac:dyDescent="0.25">
      <c r="A347" s="17"/>
      <c r="B347" s="17"/>
      <c r="D347" s="18"/>
      <c r="E347" s="18"/>
      <c r="F347" s="18"/>
      <c r="G347" s="18"/>
      <c r="H347" s="58"/>
      <c r="I347" s="21"/>
      <c r="J347" s="22"/>
    </row>
    <row r="348" spans="1:10" ht="13.2" x14ac:dyDescent="0.25">
      <c r="A348" s="17"/>
      <c r="B348" s="17"/>
      <c r="D348" s="18"/>
      <c r="E348" s="18"/>
      <c r="F348" s="18"/>
      <c r="G348" s="18"/>
      <c r="H348" s="58"/>
      <c r="I348" s="21"/>
      <c r="J348" s="22"/>
    </row>
    <row r="349" spans="1:10" ht="13.2" x14ac:dyDescent="0.25">
      <c r="A349" s="17"/>
      <c r="B349" s="17"/>
      <c r="D349" s="18"/>
      <c r="E349" s="18"/>
      <c r="F349" s="18"/>
      <c r="G349" s="18"/>
      <c r="H349" s="58"/>
      <c r="I349" s="21"/>
      <c r="J349" s="22"/>
    </row>
    <row r="350" spans="1:10" ht="13.2" x14ac:dyDescent="0.25">
      <c r="A350" s="17"/>
      <c r="B350" s="17"/>
      <c r="D350" s="18"/>
      <c r="E350" s="18"/>
      <c r="F350" s="18"/>
      <c r="G350" s="18"/>
      <c r="H350" s="58"/>
      <c r="I350" s="21"/>
      <c r="J350" s="22"/>
    </row>
    <row r="351" spans="1:10" ht="13.2" x14ac:dyDescent="0.25">
      <c r="A351" s="17"/>
      <c r="B351" s="17"/>
      <c r="D351" s="18"/>
      <c r="E351" s="18"/>
      <c r="F351" s="18"/>
      <c r="G351" s="18"/>
      <c r="H351" s="58"/>
      <c r="I351" s="21"/>
      <c r="J351" s="22"/>
    </row>
    <row r="352" spans="1:10" ht="13.2" x14ac:dyDescent="0.25">
      <c r="A352" s="17"/>
      <c r="B352" s="17"/>
      <c r="D352" s="18"/>
      <c r="E352" s="18"/>
      <c r="F352" s="18"/>
      <c r="G352" s="18"/>
      <c r="H352" s="58"/>
      <c r="I352" s="21"/>
      <c r="J352" s="22"/>
    </row>
    <row r="353" spans="1:10" ht="13.2" x14ac:dyDescent="0.25">
      <c r="A353" s="17"/>
      <c r="B353" s="17"/>
      <c r="D353" s="18"/>
      <c r="E353" s="18"/>
      <c r="F353" s="18"/>
      <c r="G353" s="18"/>
      <c r="H353" s="58"/>
      <c r="I353" s="21"/>
      <c r="J353" s="22"/>
    </row>
    <row r="354" spans="1:10" ht="13.2" x14ac:dyDescent="0.25">
      <c r="A354" s="17"/>
      <c r="B354" s="17"/>
      <c r="D354" s="18"/>
      <c r="E354" s="18"/>
      <c r="F354" s="18"/>
      <c r="G354" s="18"/>
      <c r="H354" s="58"/>
      <c r="I354" s="21"/>
      <c r="J354" s="22"/>
    </row>
    <row r="355" spans="1:10" ht="13.2" x14ac:dyDescent="0.25">
      <c r="A355" s="17"/>
      <c r="B355" s="17"/>
      <c r="D355" s="18"/>
      <c r="E355" s="18"/>
      <c r="F355" s="18"/>
      <c r="G355" s="18"/>
      <c r="H355" s="58"/>
      <c r="I355" s="21"/>
      <c r="J355" s="22"/>
    </row>
    <row r="356" spans="1:10" ht="13.2" x14ac:dyDescent="0.25">
      <c r="A356" s="17"/>
      <c r="B356" s="17"/>
      <c r="D356" s="18"/>
      <c r="E356" s="18"/>
      <c r="F356" s="18"/>
      <c r="G356" s="18"/>
      <c r="H356" s="58"/>
      <c r="I356" s="21"/>
      <c r="J356" s="22"/>
    </row>
    <row r="357" spans="1:10" ht="13.2" x14ac:dyDescent="0.25">
      <c r="A357" s="17"/>
      <c r="B357" s="17"/>
      <c r="D357" s="18"/>
      <c r="E357" s="18"/>
      <c r="F357" s="18"/>
      <c r="G357" s="18"/>
      <c r="H357" s="58"/>
      <c r="I357" s="21"/>
      <c r="J357" s="22"/>
    </row>
    <row r="358" spans="1:10" ht="13.2" x14ac:dyDescent="0.25">
      <c r="A358" s="17"/>
      <c r="B358" s="17"/>
      <c r="D358" s="18"/>
      <c r="E358" s="18"/>
      <c r="F358" s="18"/>
      <c r="G358" s="18"/>
      <c r="H358" s="58"/>
      <c r="I358" s="21"/>
      <c r="J358" s="22"/>
    </row>
    <row r="359" spans="1:10" ht="13.2" x14ac:dyDescent="0.25">
      <c r="A359" s="17"/>
      <c r="B359" s="17"/>
      <c r="D359" s="18"/>
      <c r="E359" s="18"/>
      <c r="F359" s="18"/>
      <c r="G359" s="18"/>
      <c r="H359" s="58"/>
      <c r="I359" s="21"/>
      <c r="J359" s="22"/>
    </row>
    <row r="360" spans="1:10" ht="13.2" x14ac:dyDescent="0.25">
      <c r="A360" s="17"/>
      <c r="B360" s="17"/>
      <c r="D360" s="18"/>
      <c r="E360" s="18"/>
      <c r="F360" s="18"/>
      <c r="G360" s="18"/>
      <c r="H360" s="58"/>
      <c r="I360" s="21"/>
      <c r="J360" s="22"/>
    </row>
    <row r="361" spans="1:10" ht="13.2" x14ac:dyDescent="0.25">
      <c r="A361" s="17"/>
      <c r="B361" s="17"/>
      <c r="D361" s="18"/>
      <c r="E361" s="18"/>
      <c r="F361" s="18"/>
      <c r="G361" s="18"/>
      <c r="H361" s="58"/>
      <c r="I361" s="21"/>
      <c r="J361" s="22"/>
    </row>
    <row r="362" spans="1:10" ht="13.2" x14ac:dyDescent="0.25">
      <c r="A362" s="17"/>
      <c r="B362" s="17"/>
      <c r="D362" s="18"/>
      <c r="E362" s="18"/>
      <c r="F362" s="18"/>
      <c r="G362" s="18"/>
      <c r="H362" s="58"/>
      <c r="I362" s="21"/>
      <c r="J362" s="22"/>
    </row>
    <row r="363" spans="1:10" ht="13.2" x14ac:dyDescent="0.25">
      <c r="A363" s="17"/>
      <c r="B363" s="17"/>
      <c r="D363" s="18"/>
      <c r="E363" s="18"/>
      <c r="F363" s="18"/>
      <c r="G363" s="18"/>
      <c r="H363" s="58"/>
      <c r="I363" s="21"/>
      <c r="J363" s="22"/>
    </row>
    <row r="364" spans="1:10" ht="13.2" x14ac:dyDescent="0.25">
      <c r="A364" s="17"/>
      <c r="B364" s="17"/>
      <c r="D364" s="18"/>
      <c r="E364" s="18"/>
      <c r="F364" s="18"/>
      <c r="G364" s="18"/>
      <c r="H364" s="58"/>
      <c r="I364" s="21"/>
      <c r="J364" s="22"/>
    </row>
    <row r="365" spans="1:10" ht="13.2" x14ac:dyDescent="0.25">
      <c r="A365" s="17"/>
      <c r="B365" s="17"/>
      <c r="D365" s="18"/>
      <c r="E365" s="18"/>
      <c r="F365" s="18"/>
      <c r="G365" s="18"/>
      <c r="H365" s="58"/>
      <c r="I365" s="21"/>
      <c r="J365" s="22"/>
    </row>
    <row r="366" spans="1:10" ht="13.2" x14ac:dyDescent="0.25">
      <c r="A366" s="17"/>
      <c r="B366" s="17"/>
      <c r="D366" s="18"/>
      <c r="E366" s="18"/>
      <c r="F366" s="18"/>
      <c r="G366" s="18"/>
      <c r="H366" s="58"/>
      <c r="I366" s="21"/>
      <c r="J366" s="22"/>
    </row>
    <row r="367" spans="1:10" ht="13.2" x14ac:dyDescent="0.25">
      <c r="A367" s="17"/>
      <c r="B367" s="17"/>
      <c r="D367" s="18"/>
      <c r="E367" s="18"/>
      <c r="F367" s="18"/>
      <c r="G367" s="18"/>
      <c r="H367" s="58"/>
      <c r="I367" s="21"/>
      <c r="J367" s="22"/>
    </row>
    <row r="368" spans="1:10" ht="13.2" x14ac:dyDescent="0.25">
      <c r="A368" s="17"/>
      <c r="B368" s="17"/>
      <c r="D368" s="18"/>
      <c r="E368" s="18"/>
      <c r="F368" s="18"/>
      <c r="G368" s="18"/>
      <c r="H368" s="58"/>
      <c r="I368" s="21"/>
      <c r="J368" s="22"/>
    </row>
    <row r="369" spans="1:10" ht="13.2" x14ac:dyDescent="0.25">
      <c r="A369" s="17"/>
      <c r="B369" s="17"/>
      <c r="D369" s="18"/>
      <c r="E369" s="18"/>
      <c r="F369" s="18"/>
      <c r="G369" s="18"/>
      <c r="H369" s="58"/>
      <c r="I369" s="21"/>
      <c r="J369" s="22"/>
    </row>
    <row r="370" spans="1:10" ht="13.2" x14ac:dyDescent="0.25">
      <c r="A370" s="17"/>
      <c r="B370" s="17"/>
      <c r="D370" s="18"/>
      <c r="E370" s="18"/>
      <c r="F370" s="18"/>
      <c r="G370" s="18"/>
      <c r="H370" s="58"/>
      <c r="I370" s="21"/>
      <c r="J370" s="22"/>
    </row>
    <row r="371" spans="1:10" ht="13.2" x14ac:dyDescent="0.25">
      <c r="A371" s="17"/>
      <c r="B371" s="17"/>
      <c r="D371" s="18"/>
      <c r="E371" s="18"/>
      <c r="F371" s="18"/>
      <c r="G371" s="18"/>
      <c r="H371" s="58"/>
      <c r="I371" s="21"/>
      <c r="J371" s="22"/>
    </row>
    <row r="372" spans="1:10" ht="13.2" x14ac:dyDescent="0.25">
      <c r="A372" s="17"/>
      <c r="B372" s="17"/>
      <c r="D372" s="18"/>
      <c r="E372" s="18"/>
      <c r="F372" s="18"/>
      <c r="G372" s="18"/>
      <c r="H372" s="58"/>
      <c r="I372" s="21"/>
      <c r="J372" s="22"/>
    </row>
    <row r="373" spans="1:10" ht="13.2" x14ac:dyDescent="0.25">
      <c r="A373" s="17"/>
      <c r="B373" s="17"/>
      <c r="D373" s="18"/>
      <c r="E373" s="18"/>
      <c r="F373" s="18"/>
      <c r="G373" s="18"/>
      <c r="H373" s="58"/>
      <c r="I373" s="21"/>
      <c r="J373" s="22"/>
    </row>
    <row r="374" spans="1:10" ht="13.2" x14ac:dyDescent="0.25">
      <c r="A374" s="17"/>
      <c r="B374" s="17"/>
      <c r="D374" s="18"/>
      <c r="E374" s="18"/>
      <c r="F374" s="18"/>
      <c r="G374" s="18"/>
      <c r="H374" s="58"/>
      <c r="I374" s="21"/>
      <c r="J374" s="22"/>
    </row>
    <row r="375" spans="1:10" ht="13.2" x14ac:dyDescent="0.25">
      <c r="A375" s="17"/>
      <c r="B375" s="17"/>
      <c r="D375" s="18"/>
      <c r="E375" s="18"/>
      <c r="F375" s="18"/>
      <c r="G375" s="18"/>
      <c r="H375" s="58"/>
      <c r="I375" s="21"/>
      <c r="J375" s="22"/>
    </row>
    <row r="376" spans="1:10" ht="13.2" x14ac:dyDescent="0.25">
      <c r="A376" s="17"/>
      <c r="B376" s="17"/>
      <c r="D376" s="18"/>
      <c r="E376" s="18"/>
      <c r="F376" s="18"/>
      <c r="G376" s="18"/>
      <c r="H376" s="58"/>
      <c r="I376" s="21"/>
      <c r="J376" s="22"/>
    </row>
    <row r="377" spans="1:10" ht="13.2" x14ac:dyDescent="0.25">
      <c r="A377" s="17"/>
      <c r="B377" s="17"/>
      <c r="D377" s="18"/>
      <c r="E377" s="18"/>
      <c r="F377" s="18"/>
      <c r="G377" s="18"/>
      <c r="H377" s="58"/>
      <c r="I377" s="21"/>
      <c r="J377" s="22"/>
    </row>
    <row r="378" spans="1:10" ht="13.2" x14ac:dyDescent="0.25">
      <c r="A378" s="17"/>
      <c r="B378" s="17"/>
      <c r="D378" s="18"/>
      <c r="E378" s="18"/>
      <c r="F378" s="18"/>
      <c r="G378" s="18"/>
      <c r="H378" s="58"/>
      <c r="I378" s="21"/>
      <c r="J378" s="22"/>
    </row>
    <row r="379" spans="1:10" ht="13.2" x14ac:dyDescent="0.25">
      <c r="A379" s="17"/>
      <c r="B379" s="17"/>
      <c r="D379" s="18"/>
      <c r="E379" s="18"/>
      <c r="F379" s="18"/>
      <c r="G379" s="18"/>
      <c r="H379" s="58"/>
      <c r="I379" s="21"/>
      <c r="J379" s="22"/>
    </row>
    <row r="380" spans="1:10" ht="13.2" x14ac:dyDescent="0.25">
      <c r="A380" s="17"/>
      <c r="B380" s="17"/>
      <c r="D380" s="18"/>
      <c r="E380" s="18"/>
      <c r="F380" s="18"/>
      <c r="G380" s="18"/>
      <c r="H380" s="58"/>
      <c r="I380" s="21"/>
      <c r="J380" s="22"/>
    </row>
    <row r="381" spans="1:10" ht="13.2" x14ac:dyDescent="0.25">
      <c r="A381" s="17"/>
      <c r="B381" s="17"/>
      <c r="D381" s="18"/>
      <c r="E381" s="18"/>
      <c r="F381" s="18"/>
      <c r="G381" s="18"/>
      <c r="H381" s="58"/>
      <c r="I381" s="21"/>
      <c r="J381" s="22"/>
    </row>
    <row r="382" spans="1:10" ht="13.2" x14ac:dyDescent="0.25">
      <c r="A382" s="17"/>
      <c r="B382" s="17"/>
      <c r="D382" s="18"/>
      <c r="E382" s="18"/>
      <c r="F382" s="18"/>
      <c r="G382" s="18"/>
      <c r="H382" s="58"/>
      <c r="I382" s="21"/>
      <c r="J382" s="22"/>
    </row>
    <row r="383" spans="1:10" ht="13.2" x14ac:dyDescent="0.25">
      <c r="A383" s="17"/>
      <c r="B383" s="17"/>
      <c r="D383" s="18"/>
      <c r="E383" s="18"/>
      <c r="F383" s="18"/>
      <c r="G383" s="18"/>
      <c r="H383" s="58"/>
      <c r="I383" s="21"/>
      <c r="J383" s="22"/>
    </row>
    <row r="384" spans="1:10" ht="13.2" x14ac:dyDescent="0.25">
      <c r="A384" s="17"/>
      <c r="B384" s="17"/>
      <c r="D384" s="18"/>
      <c r="E384" s="18"/>
      <c r="F384" s="18"/>
      <c r="G384" s="18"/>
      <c r="H384" s="58"/>
      <c r="I384" s="21"/>
      <c r="J384" s="22"/>
    </row>
    <row r="385" spans="1:10" ht="13.2" x14ac:dyDescent="0.25">
      <c r="A385" s="17"/>
      <c r="B385" s="17"/>
      <c r="D385" s="18"/>
      <c r="E385" s="18"/>
      <c r="F385" s="18"/>
      <c r="G385" s="18"/>
      <c r="H385" s="58"/>
      <c r="I385" s="21"/>
      <c r="J385" s="22"/>
    </row>
    <row r="386" spans="1:10" ht="13.2" x14ac:dyDescent="0.25">
      <c r="A386" s="17"/>
      <c r="B386" s="17"/>
      <c r="D386" s="18"/>
      <c r="E386" s="18"/>
      <c r="F386" s="18"/>
      <c r="G386" s="18"/>
      <c r="H386" s="58"/>
      <c r="I386" s="21"/>
      <c r="J386" s="22"/>
    </row>
    <row r="387" spans="1:10" ht="13.2" x14ac:dyDescent="0.25">
      <c r="A387" s="17"/>
      <c r="B387" s="17"/>
      <c r="D387" s="18"/>
      <c r="E387" s="18"/>
      <c r="F387" s="18"/>
      <c r="G387" s="18"/>
      <c r="H387" s="58"/>
      <c r="I387" s="21"/>
      <c r="J387" s="22"/>
    </row>
    <row r="388" spans="1:10" ht="13.2" x14ac:dyDescent="0.25">
      <c r="A388" s="17"/>
      <c r="B388" s="17"/>
      <c r="D388" s="18"/>
      <c r="E388" s="18"/>
      <c r="F388" s="18"/>
      <c r="G388" s="18"/>
      <c r="H388" s="58"/>
      <c r="I388" s="21"/>
      <c r="J388" s="22"/>
    </row>
    <row r="389" spans="1:10" ht="13.2" x14ac:dyDescent="0.25">
      <c r="A389" s="17"/>
      <c r="B389" s="17"/>
      <c r="D389" s="18"/>
      <c r="E389" s="18"/>
      <c r="F389" s="18"/>
      <c r="G389" s="18"/>
      <c r="H389" s="58"/>
      <c r="I389" s="21"/>
      <c r="J389" s="22"/>
    </row>
    <row r="390" spans="1:10" ht="13.2" x14ac:dyDescent="0.25">
      <c r="A390" s="17"/>
      <c r="B390" s="17"/>
      <c r="D390" s="18"/>
      <c r="E390" s="18"/>
      <c r="F390" s="18"/>
      <c r="G390" s="18"/>
      <c r="H390" s="58"/>
      <c r="I390" s="21"/>
      <c r="J390" s="22"/>
    </row>
    <row r="391" spans="1:10" ht="13.2" x14ac:dyDescent="0.25">
      <c r="A391" s="17"/>
      <c r="B391" s="17"/>
      <c r="D391" s="18"/>
      <c r="E391" s="18"/>
      <c r="F391" s="18"/>
      <c r="G391" s="18"/>
      <c r="H391" s="58"/>
      <c r="I391" s="21"/>
      <c r="J391" s="22"/>
    </row>
    <row r="392" spans="1:10" ht="13.2" x14ac:dyDescent="0.25">
      <c r="A392" s="17"/>
      <c r="B392" s="17"/>
      <c r="D392" s="18"/>
      <c r="E392" s="18"/>
      <c r="F392" s="18"/>
      <c r="G392" s="18"/>
      <c r="H392" s="58"/>
      <c r="I392" s="21"/>
      <c r="J392" s="22"/>
    </row>
    <row r="393" spans="1:10" ht="13.2" x14ac:dyDescent="0.25">
      <c r="A393" s="17"/>
      <c r="B393" s="17"/>
      <c r="D393" s="18"/>
      <c r="E393" s="18"/>
      <c r="F393" s="18"/>
      <c r="G393" s="18"/>
      <c r="H393" s="58"/>
      <c r="I393" s="21"/>
      <c r="J393" s="22"/>
    </row>
    <row r="394" spans="1:10" ht="13.2" x14ac:dyDescent="0.25">
      <c r="A394" s="17"/>
      <c r="B394" s="17"/>
      <c r="D394" s="18"/>
      <c r="E394" s="18"/>
      <c r="F394" s="18"/>
      <c r="G394" s="18"/>
      <c r="H394" s="58"/>
      <c r="I394" s="21"/>
      <c r="J394" s="22"/>
    </row>
    <row r="395" spans="1:10" ht="13.2" x14ac:dyDescent="0.25">
      <c r="A395" s="17"/>
      <c r="B395" s="17"/>
      <c r="D395" s="18"/>
      <c r="E395" s="18"/>
      <c r="F395" s="18"/>
      <c r="G395" s="18"/>
      <c r="H395" s="58"/>
      <c r="I395" s="21"/>
      <c r="J395" s="22"/>
    </row>
    <row r="396" spans="1:10" ht="13.2" x14ac:dyDescent="0.25">
      <c r="A396" s="17"/>
      <c r="B396" s="17"/>
      <c r="D396" s="18"/>
      <c r="E396" s="18"/>
      <c r="F396" s="18"/>
      <c r="G396" s="18"/>
      <c r="H396" s="58"/>
      <c r="I396" s="21"/>
      <c r="J396" s="22"/>
    </row>
    <row r="397" spans="1:10" ht="13.2" x14ac:dyDescent="0.25">
      <c r="A397" s="17"/>
      <c r="B397" s="17"/>
      <c r="D397" s="18"/>
      <c r="E397" s="18"/>
      <c r="F397" s="18"/>
      <c r="G397" s="18"/>
      <c r="H397" s="58"/>
      <c r="I397" s="21"/>
      <c r="J397" s="22"/>
    </row>
    <row r="398" spans="1:10" ht="13.2" x14ac:dyDescent="0.25">
      <c r="A398" s="17"/>
      <c r="B398" s="17"/>
      <c r="D398" s="18"/>
      <c r="E398" s="18"/>
      <c r="F398" s="18"/>
      <c r="G398" s="18"/>
      <c r="H398" s="58"/>
      <c r="I398" s="21"/>
      <c r="J398" s="22"/>
    </row>
    <row r="399" spans="1:10" ht="13.2" x14ac:dyDescent="0.25">
      <c r="A399" s="17"/>
      <c r="B399" s="17"/>
      <c r="D399" s="18"/>
      <c r="E399" s="18"/>
      <c r="F399" s="18"/>
      <c r="G399" s="18"/>
      <c r="H399" s="58"/>
      <c r="I399" s="21"/>
      <c r="J399" s="22"/>
    </row>
    <row r="400" spans="1:10" ht="13.2" x14ac:dyDescent="0.25">
      <c r="A400" s="17"/>
      <c r="B400" s="17"/>
      <c r="D400" s="18"/>
      <c r="E400" s="18"/>
      <c r="F400" s="18"/>
      <c r="G400" s="18"/>
      <c r="H400" s="58"/>
      <c r="I400" s="21"/>
      <c r="J400" s="22"/>
    </row>
    <row r="401" spans="1:10" ht="13.2" x14ac:dyDescent="0.25">
      <c r="A401" s="17"/>
      <c r="B401" s="17"/>
      <c r="D401" s="18"/>
      <c r="E401" s="18"/>
      <c r="F401" s="18"/>
      <c r="G401" s="18"/>
      <c r="H401" s="58"/>
      <c r="I401" s="21"/>
      <c r="J401" s="22"/>
    </row>
    <row r="402" spans="1:10" ht="13.2" x14ac:dyDescent="0.25">
      <c r="A402" s="17"/>
      <c r="B402" s="17"/>
      <c r="D402" s="18"/>
      <c r="E402" s="18"/>
      <c r="F402" s="18"/>
      <c r="G402" s="18"/>
      <c r="H402" s="58"/>
      <c r="I402" s="21"/>
      <c r="J402" s="22"/>
    </row>
    <row r="403" spans="1:10" ht="13.2" x14ac:dyDescent="0.25">
      <c r="A403" s="17"/>
      <c r="B403" s="17"/>
      <c r="D403" s="18"/>
      <c r="E403" s="18"/>
      <c r="F403" s="18"/>
      <c r="G403" s="18"/>
      <c r="H403" s="58"/>
      <c r="I403" s="21"/>
      <c r="J403" s="22"/>
    </row>
    <row r="404" spans="1:10" ht="13.2" x14ac:dyDescent="0.25">
      <c r="A404" s="17"/>
      <c r="B404" s="17"/>
      <c r="D404" s="18"/>
      <c r="E404" s="18"/>
      <c r="F404" s="18"/>
      <c r="G404" s="18"/>
      <c r="H404" s="58"/>
      <c r="I404" s="21"/>
      <c r="J404" s="22"/>
    </row>
    <row r="405" spans="1:10" ht="13.2" x14ac:dyDescent="0.25">
      <c r="A405" s="17"/>
      <c r="B405" s="17"/>
      <c r="D405" s="18"/>
      <c r="E405" s="18"/>
      <c r="F405" s="18"/>
      <c r="G405" s="18"/>
      <c r="H405" s="58"/>
      <c r="I405" s="21"/>
      <c r="J405" s="22"/>
    </row>
    <row r="406" spans="1:10" ht="13.2" x14ac:dyDescent="0.25">
      <c r="A406" s="17"/>
      <c r="B406" s="17"/>
      <c r="D406" s="18"/>
      <c r="E406" s="18"/>
      <c r="F406" s="18"/>
      <c r="G406" s="18"/>
      <c r="H406" s="58"/>
      <c r="I406" s="21"/>
      <c r="J406" s="22"/>
    </row>
    <row r="407" spans="1:10" ht="13.2" x14ac:dyDescent="0.25">
      <c r="A407" s="17"/>
      <c r="B407" s="17"/>
      <c r="D407" s="18"/>
      <c r="E407" s="18"/>
      <c r="F407" s="18"/>
      <c r="G407" s="18"/>
      <c r="H407" s="58"/>
      <c r="I407" s="21"/>
      <c r="J407" s="22"/>
    </row>
    <row r="408" spans="1:10" ht="13.2" x14ac:dyDescent="0.25">
      <c r="A408" s="17"/>
      <c r="B408" s="17"/>
      <c r="D408" s="18"/>
      <c r="E408" s="18"/>
      <c r="F408" s="18"/>
      <c r="G408" s="18"/>
      <c r="H408" s="58"/>
      <c r="I408" s="21"/>
      <c r="J408" s="22"/>
    </row>
    <row r="409" spans="1:10" ht="13.2" x14ac:dyDescent="0.25">
      <c r="A409" s="17"/>
      <c r="B409" s="17"/>
      <c r="D409" s="18"/>
      <c r="E409" s="18"/>
      <c r="F409" s="18"/>
      <c r="G409" s="18"/>
      <c r="H409" s="58"/>
      <c r="I409" s="21"/>
      <c r="J409" s="22"/>
    </row>
    <row r="410" spans="1:10" ht="13.2" x14ac:dyDescent="0.25">
      <c r="A410" s="17"/>
      <c r="B410" s="17"/>
      <c r="D410" s="18"/>
      <c r="E410" s="18"/>
      <c r="F410" s="18"/>
      <c r="G410" s="18"/>
      <c r="H410" s="58"/>
      <c r="I410" s="21"/>
      <c r="J410" s="22"/>
    </row>
    <row r="411" spans="1:10" ht="13.2" x14ac:dyDescent="0.25">
      <c r="A411" s="17"/>
      <c r="B411" s="17"/>
      <c r="D411" s="18"/>
      <c r="E411" s="18"/>
      <c r="F411" s="18"/>
      <c r="G411" s="18"/>
      <c r="H411" s="58"/>
      <c r="I411" s="21"/>
      <c r="J411" s="22"/>
    </row>
    <row r="412" spans="1:10" ht="13.2" x14ac:dyDescent="0.25">
      <c r="A412" s="17"/>
      <c r="B412" s="17"/>
      <c r="D412" s="18"/>
      <c r="E412" s="18"/>
      <c r="F412" s="18"/>
      <c r="G412" s="18"/>
      <c r="H412" s="58"/>
      <c r="I412" s="21"/>
      <c r="J412" s="22"/>
    </row>
    <row r="413" spans="1:10" ht="13.2" x14ac:dyDescent="0.25">
      <c r="A413" s="17"/>
      <c r="B413" s="17"/>
      <c r="D413" s="18"/>
      <c r="E413" s="18"/>
      <c r="F413" s="18"/>
      <c r="G413" s="18"/>
      <c r="H413" s="58"/>
      <c r="I413" s="21"/>
      <c r="J413" s="22"/>
    </row>
    <row r="414" spans="1:10" ht="13.2" x14ac:dyDescent="0.25">
      <c r="A414" s="17"/>
      <c r="B414" s="17"/>
      <c r="D414" s="18"/>
      <c r="E414" s="18"/>
      <c r="F414" s="18"/>
      <c r="G414" s="18"/>
      <c r="H414" s="58"/>
      <c r="I414" s="21"/>
      <c r="J414" s="22"/>
    </row>
    <row r="415" spans="1:10" ht="13.2" x14ac:dyDescent="0.25">
      <c r="A415" s="17"/>
      <c r="B415" s="17"/>
      <c r="D415" s="18"/>
      <c r="E415" s="18"/>
      <c r="F415" s="18"/>
      <c r="G415" s="18"/>
      <c r="H415" s="58"/>
      <c r="I415" s="21"/>
      <c r="J415" s="22"/>
    </row>
    <row r="416" spans="1:10" ht="13.2" x14ac:dyDescent="0.25">
      <c r="A416" s="17"/>
      <c r="B416" s="17"/>
      <c r="D416" s="18"/>
      <c r="E416" s="18"/>
      <c r="F416" s="18"/>
      <c r="G416" s="18"/>
      <c r="H416" s="58"/>
      <c r="I416" s="21"/>
      <c r="J416" s="22"/>
    </row>
    <row r="417" spans="1:10" ht="13.2" x14ac:dyDescent="0.25">
      <c r="A417" s="17"/>
      <c r="B417" s="17"/>
      <c r="D417" s="18"/>
      <c r="E417" s="18"/>
      <c r="F417" s="18"/>
      <c r="G417" s="18"/>
      <c r="H417" s="58"/>
      <c r="I417" s="21"/>
      <c r="J417" s="22"/>
    </row>
    <row r="418" spans="1:10" ht="13.2" x14ac:dyDescent="0.25">
      <c r="A418" s="17"/>
      <c r="B418" s="17"/>
      <c r="D418" s="18"/>
      <c r="E418" s="18"/>
      <c r="F418" s="18"/>
      <c r="G418" s="18"/>
      <c r="H418" s="58"/>
      <c r="I418" s="21"/>
      <c r="J418" s="22"/>
    </row>
    <row r="419" spans="1:10" ht="13.2" x14ac:dyDescent="0.25">
      <c r="A419" s="17"/>
      <c r="B419" s="17"/>
      <c r="D419" s="18"/>
      <c r="E419" s="18"/>
      <c r="F419" s="18"/>
      <c r="G419" s="18"/>
      <c r="H419" s="58"/>
      <c r="I419" s="21"/>
      <c r="J419" s="22"/>
    </row>
    <row r="420" spans="1:10" ht="13.2" x14ac:dyDescent="0.25">
      <c r="A420" s="17"/>
      <c r="B420" s="17"/>
      <c r="D420" s="18"/>
      <c r="E420" s="18"/>
      <c r="F420" s="18"/>
      <c r="G420" s="18"/>
      <c r="H420" s="58"/>
      <c r="I420" s="21"/>
      <c r="J420" s="22"/>
    </row>
    <row r="421" spans="1:10" ht="13.2" x14ac:dyDescent="0.25">
      <c r="A421" s="17"/>
      <c r="B421" s="17"/>
      <c r="D421" s="18"/>
      <c r="E421" s="18"/>
      <c r="F421" s="18"/>
      <c r="G421" s="18"/>
      <c r="H421" s="58"/>
      <c r="I421" s="21"/>
      <c r="J421" s="22"/>
    </row>
    <row r="422" spans="1:10" ht="13.2" x14ac:dyDescent="0.25">
      <c r="A422" s="17"/>
      <c r="B422" s="17"/>
      <c r="D422" s="18"/>
      <c r="E422" s="18"/>
      <c r="F422" s="18"/>
      <c r="G422" s="18"/>
      <c r="H422" s="58"/>
      <c r="I422" s="21"/>
      <c r="J422" s="22"/>
    </row>
    <row r="423" spans="1:10" ht="13.2" x14ac:dyDescent="0.25">
      <c r="A423" s="17"/>
      <c r="B423" s="17"/>
      <c r="D423" s="18"/>
      <c r="E423" s="18"/>
      <c r="F423" s="18"/>
      <c r="G423" s="18"/>
      <c r="H423" s="58"/>
      <c r="I423" s="21"/>
      <c r="J423" s="22"/>
    </row>
    <row r="424" spans="1:10" ht="13.2" x14ac:dyDescent="0.25">
      <c r="A424" s="17"/>
      <c r="B424" s="17"/>
      <c r="D424" s="18"/>
      <c r="E424" s="18"/>
      <c r="F424" s="18"/>
      <c r="G424" s="18"/>
      <c r="H424" s="58"/>
      <c r="I424" s="21"/>
      <c r="J424" s="22"/>
    </row>
    <row r="425" spans="1:10" ht="13.2" x14ac:dyDescent="0.25">
      <c r="A425" s="17"/>
      <c r="B425" s="17"/>
      <c r="D425" s="18"/>
      <c r="E425" s="18"/>
      <c r="F425" s="18"/>
      <c r="G425" s="18"/>
      <c r="H425" s="58"/>
      <c r="I425" s="21"/>
      <c r="J425" s="22"/>
    </row>
    <row r="426" spans="1:10" ht="13.2" x14ac:dyDescent="0.25">
      <c r="A426" s="17"/>
      <c r="B426" s="17"/>
      <c r="D426" s="18"/>
      <c r="E426" s="18"/>
      <c r="F426" s="18"/>
      <c r="G426" s="18"/>
      <c r="H426" s="58"/>
      <c r="I426" s="21"/>
      <c r="J426" s="22"/>
    </row>
    <row r="427" spans="1:10" ht="13.2" x14ac:dyDescent="0.25">
      <c r="A427" s="17"/>
      <c r="B427" s="17"/>
      <c r="D427" s="18"/>
      <c r="E427" s="18"/>
      <c r="F427" s="18"/>
      <c r="G427" s="18"/>
      <c r="H427" s="58"/>
      <c r="I427" s="21"/>
      <c r="J427" s="22"/>
    </row>
    <row r="428" spans="1:10" ht="13.2" x14ac:dyDescent="0.25">
      <c r="A428" s="17"/>
      <c r="B428" s="17"/>
      <c r="D428" s="18"/>
      <c r="E428" s="18"/>
      <c r="F428" s="18"/>
      <c r="G428" s="18"/>
      <c r="H428" s="58"/>
      <c r="I428" s="21"/>
      <c r="J428" s="22"/>
    </row>
    <row r="429" spans="1:10" ht="13.2" x14ac:dyDescent="0.25">
      <c r="A429" s="17"/>
      <c r="B429" s="17"/>
      <c r="D429" s="18"/>
      <c r="E429" s="18"/>
      <c r="F429" s="18"/>
      <c r="G429" s="18"/>
      <c r="H429" s="58"/>
      <c r="I429" s="21"/>
      <c r="J429" s="22"/>
    </row>
    <row r="430" spans="1:10" ht="13.2" x14ac:dyDescent="0.25">
      <c r="A430" s="17"/>
      <c r="B430" s="17"/>
      <c r="D430" s="18"/>
      <c r="E430" s="18"/>
      <c r="F430" s="18"/>
      <c r="G430" s="18"/>
      <c r="H430" s="58"/>
      <c r="I430" s="21"/>
      <c r="J430" s="22"/>
    </row>
    <row r="431" spans="1:10" ht="13.2" x14ac:dyDescent="0.25">
      <c r="A431" s="17"/>
      <c r="B431" s="17"/>
      <c r="D431" s="18"/>
      <c r="E431" s="18"/>
      <c r="F431" s="18"/>
      <c r="G431" s="18"/>
      <c r="H431" s="58"/>
      <c r="I431" s="21"/>
      <c r="J431" s="22"/>
    </row>
    <row r="432" spans="1:10" ht="13.2" x14ac:dyDescent="0.25">
      <c r="A432" s="17"/>
      <c r="B432" s="17"/>
      <c r="D432" s="18"/>
      <c r="E432" s="18"/>
      <c r="F432" s="18"/>
      <c r="G432" s="18"/>
      <c r="H432" s="58"/>
      <c r="I432" s="21"/>
      <c r="J432" s="22"/>
    </row>
    <row r="433" spans="1:10" ht="13.2" x14ac:dyDescent="0.25">
      <c r="A433" s="17"/>
      <c r="B433" s="17"/>
      <c r="D433" s="18"/>
      <c r="E433" s="18"/>
      <c r="F433" s="18"/>
      <c r="G433" s="18"/>
      <c r="H433" s="58"/>
      <c r="I433" s="21"/>
      <c r="J433" s="22"/>
    </row>
    <row r="434" spans="1:10" ht="13.2" x14ac:dyDescent="0.25">
      <c r="A434" s="17"/>
      <c r="B434" s="17"/>
      <c r="D434" s="18"/>
      <c r="E434" s="18"/>
      <c r="F434" s="18"/>
      <c r="G434" s="18"/>
      <c r="H434" s="58"/>
      <c r="I434" s="21"/>
      <c r="J434" s="22"/>
    </row>
    <row r="435" spans="1:10" ht="13.2" x14ac:dyDescent="0.25">
      <c r="A435" s="17"/>
      <c r="B435" s="17"/>
      <c r="D435" s="18"/>
      <c r="E435" s="18"/>
      <c r="F435" s="18"/>
      <c r="G435" s="18"/>
      <c r="H435" s="58"/>
      <c r="I435" s="21"/>
      <c r="J435" s="22"/>
    </row>
    <row r="436" spans="1:10" ht="13.2" x14ac:dyDescent="0.25">
      <c r="A436" s="17"/>
      <c r="B436" s="17"/>
      <c r="D436" s="18"/>
      <c r="E436" s="18"/>
      <c r="F436" s="18"/>
      <c r="G436" s="18"/>
      <c r="H436" s="58"/>
      <c r="I436" s="21"/>
      <c r="J436" s="22"/>
    </row>
    <row r="437" spans="1:10" ht="13.2" x14ac:dyDescent="0.25">
      <c r="A437" s="17"/>
      <c r="B437" s="17"/>
      <c r="D437" s="18"/>
      <c r="E437" s="18"/>
      <c r="F437" s="18"/>
      <c r="G437" s="18"/>
      <c r="H437" s="58"/>
      <c r="I437" s="21"/>
      <c r="J437" s="22"/>
    </row>
    <row r="438" spans="1:10" ht="13.2" x14ac:dyDescent="0.25">
      <c r="A438" s="17"/>
      <c r="B438" s="17"/>
      <c r="D438" s="18"/>
      <c r="E438" s="18"/>
      <c r="F438" s="18"/>
      <c r="G438" s="18"/>
      <c r="H438" s="58"/>
      <c r="I438" s="21"/>
      <c r="J438" s="22"/>
    </row>
    <row r="439" spans="1:10" ht="13.2" x14ac:dyDescent="0.25">
      <c r="A439" s="17"/>
      <c r="B439" s="17"/>
      <c r="D439" s="18"/>
      <c r="E439" s="18"/>
      <c r="F439" s="18"/>
      <c r="G439" s="18"/>
      <c r="H439" s="58"/>
      <c r="I439" s="21"/>
      <c r="J439" s="22"/>
    </row>
    <row r="440" spans="1:10" ht="13.2" x14ac:dyDescent="0.25">
      <c r="A440" s="17"/>
      <c r="B440" s="17"/>
      <c r="D440" s="18"/>
      <c r="E440" s="18"/>
      <c r="F440" s="18"/>
      <c r="G440" s="18"/>
      <c r="H440" s="58"/>
      <c r="I440" s="21"/>
      <c r="J440" s="22"/>
    </row>
    <row r="441" spans="1:10" ht="13.2" x14ac:dyDescent="0.25">
      <c r="A441" s="17"/>
      <c r="B441" s="17"/>
      <c r="D441" s="18"/>
      <c r="E441" s="18"/>
      <c r="F441" s="18"/>
      <c r="G441" s="18"/>
      <c r="H441" s="58"/>
      <c r="I441" s="21"/>
      <c r="J441" s="22"/>
    </row>
    <row r="442" spans="1:10" ht="13.2" x14ac:dyDescent="0.25">
      <c r="A442" s="17"/>
      <c r="B442" s="17"/>
      <c r="D442" s="18"/>
      <c r="E442" s="18"/>
      <c r="F442" s="18"/>
      <c r="G442" s="18"/>
      <c r="H442" s="58"/>
      <c r="I442" s="21"/>
      <c r="J442" s="22"/>
    </row>
    <row r="443" spans="1:10" ht="13.2" x14ac:dyDescent="0.25">
      <c r="A443" s="17"/>
      <c r="B443" s="17"/>
      <c r="D443" s="18"/>
      <c r="E443" s="18"/>
      <c r="F443" s="18"/>
      <c r="G443" s="18"/>
      <c r="H443" s="58"/>
      <c r="I443" s="21"/>
      <c r="J443" s="22"/>
    </row>
    <row r="444" spans="1:10" ht="13.2" x14ac:dyDescent="0.25">
      <c r="A444" s="17"/>
      <c r="B444" s="17"/>
      <c r="D444" s="18"/>
      <c r="E444" s="18"/>
      <c r="F444" s="18"/>
      <c r="G444" s="18"/>
      <c r="H444" s="58"/>
      <c r="I444" s="21"/>
      <c r="J444" s="22"/>
    </row>
    <row r="445" spans="1:10" ht="13.2" x14ac:dyDescent="0.25">
      <c r="A445" s="17"/>
      <c r="B445" s="17"/>
      <c r="D445" s="18"/>
      <c r="E445" s="18"/>
      <c r="F445" s="18"/>
      <c r="G445" s="18"/>
      <c r="H445" s="58"/>
      <c r="I445" s="21"/>
      <c r="J445" s="22"/>
    </row>
    <row r="446" spans="1:10" ht="13.2" x14ac:dyDescent="0.25">
      <c r="A446" s="17"/>
      <c r="B446" s="17"/>
      <c r="D446" s="18"/>
      <c r="E446" s="18"/>
      <c r="F446" s="18"/>
      <c r="G446" s="18"/>
      <c r="H446" s="58"/>
      <c r="I446" s="21"/>
      <c r="J446" s="22"/>
    </row>
    <row r="447" spans="1:10" ht="13.2" x14ac:dyDescent="0.25">
      <c r="A447" s="17"/>
      <c r="B447" s="17"/>
      <c r="D447" s="18"/>
      <c r="E447" s="18"/>
      <c r="F447" s="18"/>
      <c r="G447" s="18"/>
      <c r="H447" s="58"/>
      <c r="I447" s="21"/>
      <c r="J447" s="22"/>
    </row>
    <row r="448" spans="1:10" ht="13.2" x14ac:dyDescent="0.25">
      <c r="A448" s="17"/>
      <c r="B448" s="17"/>
      <c r="D448" s="18"/>
      <c r="E448" s="18"/>
      <c r="F448" s="18"/>
      <c r="G448" s="18"/>
      <c r="H448" s="58"/>
      <c r="I448" s="21"/>
      <c r="J448" s="22"/>
    </row>
    <row r="449" spans="1:10" ht="13.2" x14ac:dyDescent="0.25">
      <c r="A449" s="17"/>
      <c r="B449" s="17"/>
      <c r="D449" s="18"/>
      <c r="E449" s="18"/>
      <c r="F449" s="18"/>
      <c r="G449" s="18"/>
      <c r="H449" s="58"/>
      <c r="I449" s="21"/>
      <c r="J449" s="22"/>
    </row>
    <row r="450" spans="1:10" ht="13.2" x14ac:dyDescent="0.25">
      <c r="A450" s="17"/>
      <c r="B450" s="17"/>
      <c r="D450" s="18"/>
      <c r="E450" s="18"/>
      <c r="F450" s="18"/>
      <c r="G450" s="18"/>
      <c r="H450" s="58"/>
      <c r="I450" s="21"/>
      <c r="J450" s="22"/>
    </row>
    <row r="451" spans="1:10" ht="13.2" x14ac:dyDescent="0.25">
      <c r="A451" s="17"/>
      <c r="B451" s="17"/>
      <c r="D451" s="18"/>
      <c r="E451" s="18"/>
      <c r="F451" s="18"/>
      <c r="G451" s="18"/>
      <c r="H451" s="58"/>
      <c r="I451" s="21"/>
      <c r="J451" s="22"/>
    </row>
    <row r="452" spans="1:10" ht="13.2" x14ac:dyDescent="0.25">
      <c r="A452" s="17"/>
      <c r="B452" s="17"/>
      <c r="D452" s="18"/>
      <c r="E452" s="18"/>
      <c r="F452" s="18"/>
      <c r="G452" s="18"/>
      <c r="H452" s="58"/>
      <c r="I452" s="21"/>
      <c r="J452" s="22"/>
    </row>
    <row r="453" spans="1:10" ht="13.2" x14ac:dyDescent="0.25">
      <c r="A453" s="17"/>
      <c r="B453" s="17"/>
      <c r="D453" s="18"/>
      <c r="E453" s="18"/>
      <c r="F453" s="18"/>
      <c r="G453" s="18"/>
      <c r="H453" s="58"/>
      <c r="I453" s="21"/>
      <c r="J453" s="22"/>
    </row>
    <row r="454" spans="1:10" ht="13.2" x14ac:dyDescent="0.25">
      <c r="A454" s="17"/>
      <c r="B454" s="17"/>
      <c r="D454" s="18"/>
      <c r="E454" s="18"/>
      <c r="F454" s="18"/>
      <c r="G454" s="18"/>
      <c r="H454" s="58"/>
      <c r="I454" s="21"/>
      <c r="J454" s="22"/>
    </row>
    <row r="455" spans="1:10" ht="13.2" x14ac:dyDescent="0.25">
      <c r="A455" s="17"/>
      <c r="B455" s="17"/>
      <c r="D455" s="18"/>
      <c r="E455" s="18"/>
      <c r="F455" s="18"/>
      <c r="G455" s="18"/>
      <c r="H455" s="58"/>
      <c r="I455" s="21"/>
      <c r="J455" s="22"/>
    </row>
    <row r="456" spans="1:10" ht="13.2" x14ac:dyDescent="0.25">
      <c r="A456" s="17"/>
      <c r="B456" s="17"/>
      <c r="D456" s="18"/>
      <c r="E456" s="18"/>
      <c r="F456" s="18"/>
      <c r="G456" s="18"/>
      <c r="H456" s="58"/>
      <c r="I456" s="21"/>
      <c r="J456" s="22"/>
    </row>
    <row r="457" spans="1:10" ht="13.2" x14ac:dyDescent="0.25">
      <c r="A457" s="17"/>
      <c r="B457" s="17"/>
      <c r="D457" s="18"/>
      <c r="E457" s="18"/>
      <c r="F457" s="18"/>
      <c r="G457" s="18"/>
      <c r="H457" s="58"/>
      <c r="I457" s="21"/>
      <c r="J457" s="22"/>
    </row>
    <row r="458" spans="1:10" ht="13.2" x14ac:dyDescent="0.25">
      <c r="A458" s="17"/>
      <c r="B458" s="17"/>
      <c r="D458" s="18"/>
      <c r="E458" s="18"/>
      <c r="F458" s="18"/>
      <c r="G458" s="18"/>
      <c r="H458" s="58"/>
      <c r="I458" s="21"/>
      <c r="J458" s="22"/>
    </row>
    <row r="459" spans="1:10" ht="13.2" x14ac:dyDescent="0.25">
      <c r="A459" s="17"/>
      <c r="B459" s="17"/>
      <c r="D459" s="18"/>
      <c r="E459" s="18"/>
      <c r="F459" s="18"/>
      <c r="G459" s="18"/>
      <c r="H459" s="58"/>
      <c r="I459" s="21"/>
      <c r="J459" s="22"/>
    </row>
    <row r="460" spans="1:10" ht="13.2" x14ac:dyDescent="0.25">
      <c r="A460" s="17"/>
      <c r="B460" s="17"/>
      <c r="D460" s="18"/>
      <c r="E460" s="18"/>
      <c r="F460" s="18"/>
      <c r="G460" s="18"/>
      <c r="H460" s="58"/>
      <c r="I460" s="21"/>
      <c r="J460" s="22"/>
    </row>
    <row r="461" spans="1:10" ht="13.2" x14ac:dyDescent="0.25">
      <c r="A461" s="17"/>
      <c r="B461" s="17"/>
      <c r="D461" s="18"/>
      <c r="E461" s="18"/>
      <c r="F461" s="18"/>
      <c r="G461" s="18"/>
      <c r="H461" s="58"/>
      <c r="I461" s="21"/>
      <c r="J461" s="22"/>
    </row>
    <row r="462" spans="1:10" ht="13.2" x14ac:dyDescent="0.25">
      <c r="A462" s="17"/>
      <c r="B462" s="17"/>
      <c r="D462" s="18"/>
      <c r="E462" s="18"/>
      <c r="F462" s="18"/>
      <c r="G462" s="18"/>
      <c r="H462" s="58"/>
      <c r="I462" s="21"/>
      <c r="J462" s="22"/>
    </row>
    <row r="463" spans="1:10" ht="13.2" x14ac:dyDescent="0.25">
      <c r="A463" s="17"/>
      <c r="B463" s="17"/>
      <c r="D463" s="18"/>
      <c r="E463" s="18"/>
      <c r="F463" s="18"/>
      <c r="G463" s="18"/>
      <c r="H463" s="58"/>
      <c r="I463" s="21"/>
      <c r="J463" s="22"/>
    </row>
    <row r="464" spans="1:10" ht="13.2" x14ac:dyDescent="0.25">
      <c r="A464" s="17"/>
      <c r="B464" s="17"/>
      <c r="D464" s="18"/>
      <c r="E464" s="18"/>
      <c r="F464" s="18"/>
      <c r="G464" s="18"/>
      <c r="H464" s="58"/>
      <c r="I464" s="21"/>
      <c r="J464" s="22"/>
    </row>
    <row r="465" spans="1:10" ht="13.2" x14ac:dyDescent="0.25">
      <c r="A465" s="17"/>
      <c r="B465" s="17"/>
      <c r="D465" s="18"/>
      <c r="E465" s="18"/>
      <c r="F465" s="18"/>
      <c r="G465" s="18"/>
      <c r="H465" s="58"/>
      <c r="I465" s="21"/>
      <c r="J465" s="22"/>
    </row>
    <row r="466" spans="1:10" ht="13.2" x14ac:dyDescent="0.25">
      <c r="A466" s="17"/>
      <c r="B466" s="17"/>
      <c r="D466" s="18"/>
      <c r="E466" s="18"/>
      <c r="F466" s="18"/>
      <c r="G466" s="18"/>
      <c r="H466" s="58"/>
      <c r="I466" s="21"/>
      <c r="J466" s="22"/>
    </row>
    <row r="467" spans="1:10" ht="13.2" x14ac:dyDescent="0.25">
      <c r="A467" s="17"/>
      <c r="B467" s="17"/>
      <c r="D467" s="18"/>
      <c r="E467" s="18"/>
      <c r="F467" s="18"/>
      <c r="G467" s="18"/>
      <c r="H467" s="58"/>
      <c r="I467" s="21"/>
      <c r="J467" s="22"/>
    </row>
    <row r="468" spans="1:10" ht="13.2" x14ac:dyDescent="0.25">
      <c r="A468" s="17"/>
      <c r="B468" s="17"/>
      <c r="D468" s="18"/>
      <c r="E468" s="18"/>
      <c r="F468" s="18"/>
      <c r="G468" s="18"/>
      <c r="H468" s="58"/>
      <c r="I468" s="21"/>
      <c r="J468" s="22"/>
    </row>
    <row r="469" spans="1:10" ht="13.2" x14ac:dyDescent="0.25">
      <c r="A469" s="17"/>
      <c r="B469" s="17"/>
      <c r="D469" s="18"/>
      <c r="E469" s="18"/>
      <c r="F469" s="18"/>
      <c r="G469" s="18"/>
      <c r="H469" s="58"/>
      <c r="I469" s="21"/>
      <c r="J469" s="22"/>
    </row>
    <row r="470" spans="1:10" ht="13.2" x14ac:dyDescent="0.25">
      <c r="A470" s="17"/>
      <c r="B470" s="17"/>
      <c r="D470" s="18"/>
      <c r="E470" s="18"/>
      <c r="F470" s="18"/>
      <c r="G470" s="18"/>
      <c r="H470" s="58"/>
      <c r="I470" s="21"/>
      <c r="J470" s="22"/>
    </row>
    <row r="471" spans="1:10" ht="13.2" x14ac:dyDescent="0.25">
      <c r="A471" s="17"/>
      <c r="B471" s="17"/>
      <c r="D471" s="18"/>
      <c r="E471" s="18"/>
      <c r="F471" s="18"/>
      <c r="G471" s="18"/>
      <c r="H471" s="58"/>
      <c r="I471" s="21"/>
      <c r="J471" s="22"/>
    </row>
    <row r="472" spans="1:10" ht="13.2" x14ac:dyDescent="0.25">
      <c r="A472" s="17"/>
      <c r="B472" s="17"/>
      <c r="D472" s="18"/>
      <c r="E472" s="18"/>
      <c r="F472" s="18"/>
      <c r="G472" s="18"/>
      <c r="H472" s="58"/>
      <c r="I472" s="21"/>
      <c r="J472" s="22"/>
    </row>
    <row r="473" spans="1:10" ht="13.2" x14ac:dyDescent="0.25">
      <c r="A473" s="17"/>
      <c r="B473" s="17"/>
      <c r="D473" s="18"/>
      <c r="E473" s="18"/>
      <c r="F473" s="18"/>
      <c r="G473" s="18"/>
      <c r="H473" s="58"/>
      <c r="I473" s="21"/>
      <c r="J473" s="22"/>
    </row>
    <row r="474" spans="1:10" ht="13.2" x14ac:dyDescent="0.25">
      <c r="A474" s="17"/>
      <c r="B474" s="17"/>
      <c r="D474" s="18"/>
      <c r="E474" s="18"/>
      <c r="F474" s="18"/>
      <c r="G474" s="18"/>
      <c r="H474" s="58"/>
      <c r="I474" s="21"/>
      <c r="J474" s="22"/>
    </row>
    <row r="475" spans="1:10" ht="13.2" x14ac:dyDescent="0.25">
      <c r="A475" s="17"/>
      <c r="B475" s="17"/>
      <c r="D475" s="18"/>
      <c r="E475" s="18"/>
      <c r="F475" s="18"/>
      <c r="G475" s="18"/>
      <c r="H475" s="58"/>
      <c r="I475" s="21"/>
      <c r="J475" s="22"/>
    </row>
    <row r="476" spans="1:10" ht="13.2" x14ac:dyDescent="0.25">
      <c r="A476" s="17"/>
      <c r="B476" s="17"/>
      <c r="D476" s="18"/>
      <c r="E476" s="18"/>
      <c r="F476" s="18"/>
      <c r="G476" s="18"/>
      <c r="H476" s="58"/>
      <c r="I476" s="21"/>
      <c r="J476" s="22"/>
    </row>
    <row r="477" spans="1:10" ht="13.2" x14ac:dyDescent="0.25">
      <c r="A477" s="17"/>
      <c r="B477" s="17"/>
      <c r="D477" s="18"/>
      <c r="E477" s="18"/>
      <c r="F477" s="18"/>
      <c r="G477" s="18"/>
      <c r="H477" s="58"/>
      <c r="I477" s="21"/>
      <c r="J477" s="22"/>
    </row>
    <row r="478" spans="1:10" ht="13.2" x14ac:dyDescent="0.25">
      <c r="A478" s="17"/>
      <c r="B478" s="17"/>
      <c r="D478" s="18"/>
      <c r="E478" s="18"/>
      <c r="F478" s="18"/>
      <c r="G478" s="18"/>
      <c r="H478" s="58"/>
      <c r="I478" s="21"/>
      <c r="J478" s="22"/>
    </row>
    <row r="479" spans="1:10" ht="13.2" x14ac:dyDescent="0.25">
      <c r="A479" s="17"/>
      <c r="B479" s="17"/>
      <c r="D479" s="18"/>
      <c r="E479" s="18"/>
      <c r="F479" s="18"/>
      <c r="G479" s="18"/>
      <c r="H479" s="58"/>
      <c r="I479" s="21"/>
      <c r="J479" s="22"/>
    </row>
    <row r="480" spans="1:10" ht="13.2" x14ac:dyDescent="0.25">
      <c r="A480" s="17"/>
      <c r="B480" s="17"/>
      <c r="D480" s="18"/>
      <c r="E480" s="18"/>
      <c r="F480" s="18"/>
      <c r="G480" s="18"/>
      <c r="H480" s="58"/>
      <c r="I480" s="21"/>
      <c r="J480" s="22"/>
    </row>
    <row r="481" spans="1:10" ht="13.2" x14ac:dyDescent="0.25">
      <c r="A481" s="17"/>
      <c r="B481" s="17"/>
      <c r="D481" s="18"/>
      <c r="E481" s="18"/>
      <c r="F481" s="18"/>
      <c r="G481" s="18"/>
      <c r="H481" s="58"/>
      <c r="I481" s="21"/>
      <c r="J481" s="22"/>
    </row>
    <row r="482" spans="1:10" ht="13.2" x14ac:dyDescent="0.25">
      <c r="A482" s="17"/>
      <c r="B482" s="17"/>
      <c r="D482" s="18"/>
      <c r="E482" s="18"/>
      <c r="F482" s="18"/>
      <c r="G482" s="18"/>
      <c r="H482" s="58"/>
      <c r="I482" s="21"/>
      <c r="J482" s="22"/>
    </row>
    <row r="483" spans="1:10" ht="13.2" x14ac:dyDescent="0.25">
      <c r="A483" s="17"/>
      <c r="B483" s="17"/>
      <c r="D483" s="18"/>
      <c r="E483" s="18"/>
      <c r="F483" s="18"/>
      <c r="G483" s="18"/>
      <c r="H483" s="58"/>
      <c r="I483" s="21"/>
      <c r="J483" s="22"/>
    </row>
    <row r="484" spans="1:10" ht="13.2" x14ac:dyDescent="0.25">
      <c r="A484" s="17"/>
      <c r="B484" s="17"/>
      <c r="D484" s="18"/>
      <c r="E484" s="18"/>
      <c r="F484" s="18"/>
      <c r="G484" s="18"/>
      <c r="H484" s="58"/>
      <c r="I484" s="21"/>
      <c r="J484" s="22"/>
    </row>
    <row r="485" spans="1:10" ht="13.2" x14ac:dyDescent="0.25">
      <c r="A485" s="17"/>
      <c r="B485" s="17"/>
      <c r="D485" s="18"/>
      <c r="E485" s="18"/>
      <c r="F485" s="18"/>
      <c r="G485" s="18"/>
      <c r="H485" s="58"/>
      <c r="I485" s="21"/>
      <c r="J485" s="22"/>
    </row>
    <row r="486" spans="1:10" ht="13.2" x14ac:dyDescent="0.25">
      <c r="A486" s="17"/>
      <c r="B486" s="17"/>
      <c r="D486" s="18"/>
      <c r="E486" s="18"/>
      <c r="F486" s="18"/>
      <c r="G486" s="18"/>
      <c r="H486" s="58"/>
      <c r="I486" s="21"/>
      <c r="J486" s="22"/>
    </row>
    <row r="487" spans="1:10" ht="13.2" x14ac:dyDescent="0.25">
      <c r="A487" s="17"/>
      <c r="B487" s="17"/>
      <c r="D487" s="18"/>
      <c r="E487" s="18"/>
      <c r="F487" s="18"/>
      <c r="G487" s="18"/>
      <c r="H487" s="58"/>
      <c r="I487" s="21"/>
      <c r="J487" s="22"/>
    </row>
    <row r="488" spans="1:10" ht="13.2" x14ac:dyDescent="0.25">
      <c r="A488" s="17"/>
      <c r="B488" s="17"/>
      <c r="D488" s="18"/>
      <c r="E488" s="18"/>
      <c r="F488" s="18"/>
      <c r="G488" s="18"/>
      <c r="H488" s="58"/>
      <c r="I488" s="21"/>
      <c r="J488" s="22"/>
    </row>
    <row r="489" spans="1:10" ht="13.2" x14ac:dyDescent="0.25">
      <c r="A489" s="17"/>
      <c r="B489" s="17"/>
      <c r="D489" s="18"/>
      <c r="E489" s="18"/>
      <c r="F489" s="18"/>
      <c r="G489" s="18"/>
      <c r="H489" s="58"/>
      <c r="I489" s="21"/>
      <c r="J489" s="22"/>
    </row>
    <row r="490" spans="1:10" ht="13.2" x14ac:dyDescent="0.25">
      <c r="A490" s="17"/>
      <c r="B490" s="17"/>
      <c r="D490" s="18"/>
      <c r="E490" s="18"/>
      <c r="F490" s="18"/>
      <c r="G490" s="18"/>
      <c r="H490" s="58"/>
      <c r="I490" s="21"/>
      <c r="J490" s="22"/>
    </row>
    <row r="491" spans="1:10" ht="13.2" x14ac:dyDescent="0.25">
      <c r="A491" s="17"/>
      <c r="B491" s="17"/>
      <c r="D491" s="18"/>
      <c r="E491" s="18"/>
      <c r="F491" s="18"/>
      <c r="G491" s="18"/>
      <c r="H491" s="58"/>
      <c r="I491" s="21"/>
      <c r="J491" s="22"/>
    </row>
    <row r="492" spans="1:10" ht="13.2" x14ac:dyDescent="0.25">
      <c r="A492" s="17"/>
      <c r="B492" s="17"/>
      <c r="D492" s="18"/>
      <c r="E492" s="18"/>
      <c r="F492" s="18"/>
      <c r="G492" s="18"/>
      <c r="H492" s="58"/>
      <c r="I492" s="21"/>
      <c r="J492" s="22"/>
    </row>
    <row r="493" spans="1:10" ht="13.2" x14ac:dyDescent="0.25">
      <c r="A493" s="17"/>
      <c r="B493" s="17"/>
      <c r="D493" s="18"/>
      <c r="E493" s="18"/>
      <c r="F493" s="18"/>
      <c r="G493" s="18"/>
      <c r="H493" s="58"/>
      <c r="I493" s="21"/>
      <c r="J493" s="22"/>
    </row>
    <row r="494" spans="1:10" ht="13.2" x14ac:dyDescent="0.25">
      <c r="A494" s="17"/>
      <c r="B494" s="17"/>
      <c r="D494" s="18"/>
      <c r="E494" s="18"/>
      <c r="F494" s="18"/>
      <c r="G494" s="18"/>
      <c r="H494" s="58"/>
      <c r="I494" s="21"/>
      <c r="J494" s="22"/>
    </row>
    <row r="495" spans="1:10" ht="13.2" x14ac:dyDescent="0.25">
      <c r="A495" s="17"/>
      <c r="B495" s="17"/>
      <c r="D495" s="18"/>
      <c r="E495" s="18"/>
      <c r="F495" s="18"/>
      <c r="G495" s="18"/>
      <c r="H495" s="58"/>
      <c r="I495" s="21"/>
      <c r="J495" s="22"/>
    </row>
    <row r="496" spans="1:10" ht="13.2" x14ac:dyDescent="0.25">
      <c r="A496" s="17"/>
      <c r="B496" s="17"/>
      <c r="D496" s="18"/>
      <c r="E496" s="18"/>
      <c r="F496" s="18"/>
      <c r="G496" s="18"/>
      <c r="H496" s="58"/>
      <c r="I496" s="21"/>
      <c r="J496" s="22"/>
    </row>
    <row r="497" spans="1:10" ht="13.2" x14ac:dyDescent="0.25">
      <c r="A497" s="17"/>
      <c r="B497" s="17"/>
      <c r="D497" s="18"/>
      <c r="E497" s="18"/>
      <c r="F497" s="18"/>
      <c r="G497" s="18"/>
      <c r="H497" s="58"/>
      <c r="I497" s="21"/>
      <c r="J497" s="22"/>
    </row>
    <row r="498" spans="1:10" ht="13.2" x14ac:dyDescent="0.25">
      <c r="A498" s="17"/>
      <c r="B498" s="17"/>
      <c r="D498" s="18"/>
      <c r="E498" s="18"/>
      <c r="F498" s="18"/>
      <c r="G498" s="18"/>
      <c r="H498" s="58"/>
      <c r="I498" s="21"/>
      <c r="J498" s="22"/>
    </row>
    <row r="499" spans="1:10" ht="13.2" x14ac:dyDescent="0.25">
      <c r="A499" s="17"/>
      <c r="B499" s="17"/>
      <c r="D499" s="18"/>
      <c r="E499" s="18"/>
      <c r="F499" s="18"/>
      <c r="G499" s="18"/>
      <c r="H499" s="58"/>
      <c r="I499" s="21"/>
      <c r="J499" s="22"/>
    </row>
    <row r="500" spans="1:10" ht="13.2" x14ac:dyDescent="0.25">
      <c r="A500" s="17"/>
      <c r="B500" s="17"/>
      <c r="D500" s="18"/>
      <c r="E500" s="18"/>
      <c r="F500" s="18"/>
      <c r="G500" s="18"/>
      <c r="H500" s="58"/>
      <c r="I500" s="21"/>
      <c r="J500" s="22"/>
    </row>
    <row r="501" spans="1:10" ht="13.2" x14ac:dyDescent="0.25">
      <c r="A501" s="17"/>
      <c r="B501" s="17"/>
      <c r="D501" s="18"/>
      <c r="E501" s="18"/>
      <c r="F501" s="18"/>
      <c r="G501" s="18"/>
      <c r="H501" s="58"/>
      <c r="I501" s="21"/>
      <c r="J501" s="22"/>
    </row>
    <row r="502" spans="1:10" ht="13.2" x14ac:dyDescent="0.25">
      <c r="A502" s="17"/>
      <c r="B502" s="17"/>
      <c r="D502" s="18"/>
      <c r="E502" s="18"/>
      <c r="F502" s="18"/>
      <c r="G502" s="18"/>
      <c r="H502" s="58"/>
      <c r="I502" s="21"/>
      <c r="J502" s="22"/>
    </row>
    <row r="503" spans="1:10" ht="13.2" x14ac:dyDescent="0.25">
      <c r="A503" s="17"/>
      <c r="B503" s="17"/>
      <c r="D503" s="18"/>
      <c r="E503" s="18"/>
      <c r="F503" s="18"/>
      <c r="G503" s="18"/>
      <c r="H503" s="58"/>
      <c r="I503" s="21"/>
      <c r="J503" s="22"/>
    </row>
    <row r="504" spans="1:10" ht="13.2" x14ac:dyDescent="0.25">
      <c r="A504" s="17"/>
      <c r="B504" s="17"/>
      <c r="D504" s="18"/>
      <c r="E504" s="18"/>
      <c r="F504" s="18"/>
      <c r="G504" s="18"/>
      <c r="H504" s="58"/>
      <c r="I504" s="21"/>
      <c r="J504" s="22"/>
    </row>
    <row r="505" spans="1:10" ht="13.2" x14ac:dyDescent="0.25">
      <c r="A505" s="17"/>
      <c r="B505" s="17"/>
      <c r="D505" s="18"/>
      <c r="E505" s="18"/>
      <c r="F505" s="18"/>
      <c r="G505" s="18"/>
      <c r="H505" s="58"/>
      <c r="I505" s="21"/>
      <c r="J505" s="22"/>
    </row>
    <row r="506" spans="1:10" ht="13.2" x14ac:dyDescent="0.25">
      <c r="A506" s="17"/>
      <c r="B506" s="17"/>
      <c r="D506" s="18"/>
      <c r="E506" s="18"/>
      <c r="F506" s="18"/>
      <c r="G506" s="18"/>
      <c r="H506" s="58"/>
      <c r="I506" s="21"/>
      <c r="J506" s="22"/>
    </row>
    <row r="507" spans="1:10" ht="13.2" x14ac:dyDescent="0.25">
      <c r="A507" s="17"/>
      <c r="B507" s="17"/>
      <c r="D507" s="18"/>
      <c r="E507" s="18"/>
      <c r="F507" s="18"/>
      <c r="G507" s="18"/>
      <c r="H507" s="58"/>
      <c r="I507" s="21"/>
      <c r="J507" s="22"/>
    </row>
    <row r="508" spans="1:10" ht="13.2" x14ac:dyDescent="0.25">
      <c r="A508" s="17"/>
      <c r="B508" s="17"/>
      <c r="D508" s="18"/>
      <c r="E508" s="18"/>
      <c r="F508" s="18"/>
      <c r="G508" s="18"/>
      <c r="H508" s="58"/>
      <c r="I508" s="21"/>
      <c r="J508" s="22"/>
    </row>
    <row r="509" spans="1:10" ht="13.2" x14ac:dyDescent="0.25">
      <c r="A509" s="17"/>
      <c r="B509" s="17"/>
      <c r="D509" s="18"/>
      <c r="E509" s="18"/>
      <c r="F509" s="18"/>
      <c r="G509" s="18"/>
      <c r="H509" s="58"/>
      <c r="I509" s="21"/>
      <c r="J509" s="22"/>
    </row>
    <row r="510" spans="1:10" ht="13.2" x14ac:dyDescent="0.25">
      <c r="A510" s="17"/>
      <c r="B510" s="17"/>
      <c r="D510" s="18"/>
      <c r="E510" s="18"/>
      <c r="F510" s="18"/>
      <c r="G510" s="18"/>
      <c r="H510" s="58"/>
      <c r="I510" s="21"/>
      <c r="J510" s="22"/>
    </row>
    <row r="511" spans="1:10" ht="13.2" x14ac:dyDescent="0.25">
      <c r="A511" s="17"/>
      <c r="B511" s="17"/>
      <c r="D511" s="18"/>
      <c r="E511" s="18"/>
      <c r="F511" s="18"/>
      <c r="G511" s="18"/>
      <c r="H511" s="58"/>
      <c r="I511" s="21"/>
      <c r="J511" s="22"/>
    </row>
    <row r="512" spans="1:10" ht="13.2" x14ac:dyDescent="0.25">
      <c r="A512" s="17"/>
      <c r="B512" s="17"/>
      <c r="D512" s="18"/>
      <c r="E512" s="18"/>
      <c r="F512" s="18"/>
      <c r="G512" s="18"/>
      <c r="H512" s="58"/>
      <c r="I512" s="21"/>
      <c r="J512" s="22"/>
    </row>
    <row r="513" spans="1:10" ht="13.2" x14ac:dyDescent="0.25">
      <c r="A513" s="17"/>
      <c r="B513" s="17"/>
      <c r="D513" s="18"/>
      <c r="E513" s="18"/>
      <c r="F513" s="18"/>
      <c r="G513" s="18"/>
      <c r="H513" s="58"/>
      <c r="I513" s="21"/>
      <c r="J513" s="22"/>
    </row>
    <row r="514" spans="1:10" ht="13.2" x14ac:dyDescent="0.25">
      <c r="A514" s="17"/>
      <c r="B514" s="17"/>
      <c r="D514" s="18"/>
      <c r="E514" s="18"/>
      <c r="F514" s="18"/>
      <c r="G514" s="18"/>
      <c r="H514" s="58"/>
      <c r="I514" s="21"/>
      <c r="J514" s="22"/>
    </row>
    <row r="515" spans="1:10" ht="13.2" x14ac:dyDescent="0.25">
      <c r="A515" s="17"/>
      <c r="B515" s="17"/>
      <c r="D515" s="18"/>
      <c r="E515" s="18"/>
      <c r="F515" s="18"/>
      <c r="G515" s="18"/>
      <c r="H515" s="58"/>
      <c r="I515" s="21"/>
      <c r="J515" s="22"/>
    </row>
    <row r="516" spans="1:10" ht="13.2" x14ac:dyDescent="0.25">
      <c r="A516" s="17"/>
      <c r="B516" s="17"/>
      <c r="D516" s="18"/>
      <c r="E516" s="18"/>
      <c r="F516" s="18"/>
      <c r="G516" s="18"/>
      <c r="H516" s="58"/>
      <c r="I516" s="21"/>
      <c r="J516" s="22"/>
    </row>
    <row r="517" spans="1:10" ht="13.2" x14ac:dyDescent="0.25">
      <c r="A517" s="17"/>
      <c r="B517" s="17"/>
      <c r="D517" s="18"/>
      <c r="E517" s="18"/>
      <c r="F517" s="18"/>
      <c r="G517" s="18"/>
      <c r="H517" s="58"/>
      <c r="I517" s="21"/>
      <c r="J517" s="22"/>
    </row>
    <row r="518" spans="1:10" ht="13.2" x14ac:dyDescent="0.25">
      <c r="A518" s="17"/>
      <c r="B518" s="17"/>
      <c r="D518" s="18"/>
      <c r="E518" s="18"/>
      <c r="F518" s="18"/>
      <c r="G518" s="18"/>
      <c r="H518" s="58"/>
      <c r="I518" s="21"/>
      <c r="J518" s="22"/>
    </row>
    <row r="519" spans="1:10" ht="13.2" x14ac:dyDescent="0.25">
      <c r="A519" s="17"/>
      <c r="B519" s="17"/>
      <c r="D519" s="18"/>
      <c r="E519" s="18"/>
      <c r="F519" s="18"/>
      <c r="G519" s="18"/>
      <c r="H519" s="58"/>
      <c r="I519" s="21"/>
      <c r="J519" s="22"/>
    </row>
    <row r="520" spans="1:10" ht="13.2" x14ac:dyDescent="0.25">
      <c r="A520" s="17"/>
      <c r="B520" s="17"/>
      <c r="D520" s="18"/>
      <c r="E520" s="18"/>
      <c r="F520" s="18"/>
      <c r="G520" s="18"/>
      <c r="H520" s="58"/>
      <c r="I520" s="21"/>
      <c r="J520" s="22"/>
    </row>
    <row r="521" spans="1:10" ht="13.2" x14ac:dyDescent="0.25">
      <c r="A521" s="17"/>
      <c r="B521" s="17"/>
      <c r="D521" s="18"/>
      <c r="E521" s="18"/>
      <c r="F521" s="18"/>
      <c r="G521" s="18"/>
      <c r="H521" s="58"/>
      <c r="I521" s="21"/>
      <c r="J521" s="22"/>
    </row>
    <row r="522" spans="1:10" ht="13.2" x14ac:dyDescent="0.25">
      <c r="A522" s="17"/>
      <c r="B522" s="17"/>
      <c r="D522" s="18"/>
      <c r="E522" s="18"/>
      <c r="F522" s="18"/>
      <c r="G522" s="18"/>
      <c r="H522" s="58"/>
      <c r="I522" s="21"/>
      <c r="J522" s="22"/>
    </row>
    <row r="523" spans="1:10" ht="13.2" x14ac:dyDescent="0.25">
      <c r="A523" s="17"/>
      <c r="B523" s="17"/>
      <c r="D523" s="18"/>
      <c r="E523" s="18"/>
      <c r="F523" s="18"/>
      <c r="G523" s="18"/>
      <c r="H523" s="58"/>
      <c r="I523" s="21"/>
      <c r="J523" s="22"/>
    </row>
    <row r="524" spans="1:10" ht="13.2" x14ac:dyDescent="0.25">
      <c r="A524" s="17"/>
      <c r="B524" s="17"/>
      <c r="D524" s="18"/>
      <c r="E524" s="18"/>
      <c r="F524" s="18"/>
      <c r="G524" s="18"/>
      <c r="H524" s="58"/>
      <c r="I524" s="21"/>
      <c r="J524" s="22"/>
    </row>
    <row r="525" spans="1:10" ht="13.2" x14ac:dyDescent="0.25">
      <c r="A525" s="17"/>
      <c r="B525" s="17"/>
      <c r="D525" s="18"/>
      <c r="E525" s="18"/>
      <c r="F525" s="18"/>
      <c r="G525" s="18"/>
      <c r="H525" s="58"/>
      <c r="I525" s="21"/>
      <c r="J525" s="22"/>
    </row>
    <row r="526" spans="1:10" ht="13.2" x14ac:dyDescent="0.25">
      <c r="A526" s="17"/>
      <c r="B526" s="17"/>
      <c r="D526" s="18"/>
      <c r="E526" s="18"/>
      <c r="F526" s="18"/>
      <c r="G526" s="18"/>
      <c r="H526" s="58"/>
      <c r="I526" s="21"/>
      <c r="J526" s="22"/>
    </row>
    <row r="527" spans="1:10" ht="13.2" x14ac:dyDescent="0.25">
      <c r="A527" s="17"/>
      <c r="B527" s="17"/>
      <c r="D527" s="18"/>
      <c r="E527" s="18"/>
      <c r="F527" s="18"/>
      <c r="G527" s="18"/>
      <c r="H527" s="58"/>
      <c r="I527" s="21"/>
      <c r="J527" s="22"/>
    </row>
    <row r="528" spans="1:10" ht="13.2" x14ac:dyDescent="0.25">
      <c r="A528" s="17"/>
      <c r="B528" s="17"/>
      <c r="D528" s="18"/>
      <c r="E528" s="18"/>
      <c r="F528" s="18"/>
      <c r="G528" s="18"/>
      <c r="H528" s="58"/>
      <c r="I528" s="21"/>
      <c r="J528" s="22"/>
    </row>
    <row r="529" spans="1:10" ht="13.2" x14ac:dyDescent="0.25">
      <c r="A529" s="17"/>
      <c r="B529" s="17"/>
      <c r="D529" s="18"/>
      <c r="E529" s="18"/>
      <c r="F529" s="18"/>
      <c r="G529" s="18"/>
      <c r="H529" s="58"/>
      <c r="I529" s="21"/>
      <c r="J529" s="22"/>
    </row>
    <row r="530" spans="1:10" ht="13.2" x14ac:dyDescent="0.25">
      <c r="A530" s="17"/>
      <c r="B530" s="17"/>
      <c r="D530" s="18"/>
      <c r="E530" s="18"/>
      <c r="F530" s="18"/>
      <c r="G530" s="18"/>
      <c r="H530" s="58"/>
      <c r="I530" s="21"/>
      <c r="J530" s="22"/>
    </row>
    <row r="531" spans="1:10" ht="13.2" x14ac:dyDescent="0.25">
      <c r="A531" s="17"/>
      <c r="B531" s="17"/>
      <c r="D531" s="18"/>
      <c r="E531" s="18"/>
      <c r="F531" s="18"/>
      <c r="G531" s="18"/>
      <c r="H531" s="58"/>
      <c r="I531" s="21"/>
      <c r="J531" s="22"/>
    </row>
    <row r="532" spans="1:10" ht="13.2" x14ac:dyDescent="0.25">
      <c r="A532" s="17"/>
      <c r="B532" s="17"/>
      <c r="D532" s="18"/>
      <c r="E532" s="18"/>
      <c r="F532" s="18"/>
      <c r="G532" s="18"/>
      <c r="H532" s="58"/>
      <c r="I532" s="21"/>
      <c r="J532" s="22"/>
    </row>
    <row r="533" spans="1:10" ht="13.2" x14ac:dyDescent="0.25">
      <c r="A533" s="17"/>
      <c r="B533" s="17"/>
      <c r="D533" s="18"/>
      <c r="E533" s="18"/>
      <c r="F533" s="18"/>
      <c r="G533" s="18"/>
      <c r="H533" s="58"/>
      <c r="I533" s="21"/>
      <c r="J533" s="22"/>
    </row>
    <row r="534" spans="1:10" ht="13.2" x14ac:dyDescent="0.25">
      <c r="A534" s="17"/>
      <c r="B534" s="17"/>
      <c r="D534" s="18"/>
      <c r="E534" s="18"/>
      <c r="F534" s="18"/>
      <c r="G534" s="18"/>
      <c r="H534" s="58"/>
      <c r="I534" s="21"/>
      <c r="J534" s="22"/>
    </row>
    <row r="535" spans="1:10" ht="13.2" x14ac:dyDescent="0.25">
      <c r="A535" s="17"/>
      <c r="B535" s="17"/>
      <c r="D535" s="18"/>
      <c r="E535" s="18"/>
      <c r="F535" s="18"/>
      <c r="G535" s="18"/>
      <c r="H535" s="58"/>
      <c r="I535" s="21"/>
      <c r="J535" s="22"/>
    </row>
    <row r="536" spans="1:10" ht="13.2" x14ac:dyDescent="0.25">
      <c r="A536" s="17"/>
      <c r="B536" s="17"/>
      <c r="D536" s="18"/>
      <c r="E536" s="18"/>
      <c r="F536" s="18"/>
      <c r="G536" s="18"/>
      <c r="H536" s="58"/>
      <c r="I536" s="21"/>
      <c r="J536" s="22"/>
    </row>
    <row r="537" spans="1:10" ht="13.2" x14ac:dyDescent="0.25">
      <c r="A537" s="17"/>
      <c r="B537" s="17"/>
      <c r="D537" s="18"/>
      <c r="E537" s="18"/>
      <c r="F537" s="18"/>
      <c r="G537" s="18"/>
      <c r="H537" s="58"/>
      <c r="I537" s="21"/>
      <c r="J537" s="22"/>
    </row>
    <row r="538" spans="1:10" ht="13.2" x14ac:dyDescent="0.25">
      <c r="A538" s="17"/>
      <c r="B538" s="17"/>
      <c r="D538" s="18"/>
      <c r="E538" s="18"/>
      <c r="F538" s="18"/>
      <c r="G538" s="18"/>
      <c r="H538" s="58"/>
      <c r="I538" s="21"/>
      <c r="J538" s="22"/>
    </row>
    <row r="539" spans="1:10" ht="13.2" x14ac:dyDescent="0.25">
      <c r="A539" s="17"/>
      <c r="B539" s="17"/>
      <c r="D539" s="18"/>
      <c r="E539" s="18"/>
      <c r="F539" s="18"/>
      <c r="G539" s="18"/>
      <c r="H539" s="58"/>
      <c r="I539" s="21"/>
      <c r="J539" s="22"/>
    </row>
    <row r="540" spans="1:10" ht="13.2" x14ac:dyDescent="0.25">
      <c r="A540" s="17"/>
      <c r="B540" s="17"/>
      <c r="D540" s="18"/>
      <c r="E540" s="18"/>
      <c r="F540" s="18"/>
      <c r="G540" s="18"/>
      <c r="H540" s="58"/>
      <c r="I540" s="21"/>
      <c r="J540" s="22"/>
    </row>
    <row r="541" spans="1:10" ht="13.2" x14ac:dyDescent="0.25">
      <c r="A541" s="17"/>
      <c r="B541" s="17"/>
      <c r="D541" s="18"/>
      <c r="E541" s="18"/>
      <c r="F541" s="18"/>
      <c r="G541" s="18"/>
      <c r="H541" s="58"/>
      <c r="I541" s="21"/>
      <c r="J541" s="22"/>
    </row>
    <row r="542" spans="1:10" ht="13.2" x14ac:dyDescent="0.25">
      <c r="A542" s="17"/>
      <c r="B542" s="17"/>
      <c r="D542" s="18"/>
      <c r="E542" s="18"/>
      <c r="F542" s="18"/>
      <c r="G542" s="18"/>
      <c r="H542" s="58"/>
      <c r="I542" s="21"/>
      <c r="J542" s="22"/>
    </row>
    <row r="543" spans="1:10" ht="13.2" x14ac:dyDescent="0.25">
      <c r="A543" s="17"/>
      <c r="B543" s="17"/>
      <c r="D543" s="18"/>
      <c r="E543" s="18"/>
      <c r="F543" s="18"/>
      <c r="G543" s="18"/>
      <c r="H543" s="58"/>
      <c r="I543" s="21"/>
      <c r="J543" s="22"/>
    </row>
    <row r="544" spans="1:10" ht="13.2" x14ac:dyDescent="0.25">
      <c r="A544" s="17"/>
      <c r="B544" s="17"/>
      <c r="D544" s="18"/>
      <c r="E544" s="18"/>
      <c r="F544" s="18"/>
      <c r="G544" s="18"/>
      <c r="H544" s="58"/>
      <c r="I544" s="21"/>
      <c r="J544" s="22"/>
    </row>
    <row r="545" spans="1:10" ht="13.2" x14ac:dyDescent="0.25">
      <c r="A545" s="17"/>
      <c r="B545" s="17"/>
      <c r="D545" s="18"/>
      <c r="E545" s="18"/>
      <c r="F545" s="18"/>
      <c r="G545" s="18"/>
      <c r="H545" s="58"/>
      <c r="I545" s="21"/>
      <c r="J545" s="22"/>
    </row>
    <row r="546" spans="1:10" ht="13.2" x14ac:dyDescent="0.25">
      <c r="A546" s="17"/>
      <c r="B546" s="17"/>
      <c r="D546" s="18"/>
      <c r="E546" s="18"/>
      <c r="F546" s="18"/>
      <c r="G546" s="18"/>
      <c r="H546" s="58"/>
      <c r="I546" s="21"/>
      <c r="J546" s="22"/>
    </row>
    <row r="547" spans="1:10" ht="13.2" x14ac:dyDescent="0.25">
      <c r="A547" s="17"/>
      <c r="B547" s="17"/>
      <c r="D547" s="18"/>
      <c r="E547" s="18"/>
      <c r="F547" s="18"/>
      <c r="G547" s="18"/>
      <c r="H547" s="58"/>
      <c r="I547" s="21"/>
      <c r="J547" s="22"/>
    </row>
    <row r="548" spans="1:10" ht="13.2" x14ac:dyDescent="0.25">
      <c r="A548" s="17"/>
      <c r="B548" s="17"/>
      <c r="D548" s="18"/>
      <c r="E548" s="18"/>
      <c r="F548" s="18"/>
      <c r="G548" s="18"/>
      <c r="H548" s="58"/>
      <c r="I548" s="21"/>
      <c r="J548" s="22"/>
    </row>
    <row r="549" spans="1:10" ht="13.2" x14ac:dyDescent="0.25">
      <c r="A549" s="17"/>
      <c r="B549" s="17"/>
      <c r="D549" s="18"/>
      <c r="E549" s="18"/>
      <c r="F549" s="18"/>
      <c r="G549" s="18"/>
      <c r="H549" s="58"/>
      <c r="I549" s="21"/>
      <c r="J549" s="22"/>
    </row>
    <row r="550" spans="1:10" ht="13.2" x14ac:dyDescent="0.25">
      <c r="A550" s="17"/>
      <c r="B550" s="17"/>
      <c r="D550" s="18"/>
      <c r="E550" s="18"/>
      <c r="F550" s="18"/>
      <c r="G550" s="18"/>
      <c r="H550" s="58"/>
      <c r="I550" s="21"/>
      <c r="J550" s="22"/>
    </row>
    <row r="551" spans="1:10" ht="13.2" x14ac:dyDescent="0.25">
      <c r="A551" s="17"/>
      <c r="B551" s="17"/>
      <c r="D551" s="18"/>
      <c r="E551" s="18"/>
      <c r="F551" s="18"/>
      <c r="G551" s="18"/>
      <c r="H551" s="58"/>
      <c r="I551" s="21"/>
      <c r="J551" s="22"/>
    </row>
    <row r="552" spans="1:10" ht="13.2" x14ac:dyDescent="0.25">
      <c r="A552" s="17"/>
      <c r="B552" s="17"/>
      <c r="D552" s="18"/>
      <c r="E552" s="18"/>
      <c r="F552" s="18"/>
      <c r="G552" s="18"/>
      <c r="H552" s="58"/>
      <c r="I552" s="21"/>
      <c r="J552" s="22"/>
    </row>
    <row r="553" spans="1:10" ht="13.2" x14ac:dyDescent="0.25">
      <c r="A553" s="17"/>
      <c r="B553" s="17"/>
      <c r="D553" s="18"/>
      <c r="E553" s="18"/>
      <c r="F553" s="18"/>
      <c r="G553" s="18"/>
      <c r="H553" s="58"/>
      <c r="I553" s="21"/>
      <c r="J553" s="22"/>
    </row>
    <row r="554" spans="1:10" ht="13.2" x14ac:dyDescent="0.25">
      <c r="A554" s="17"/>
      <c r="B554" s="17"/>
      <c r="D554" s="18"/>
      <c r="E554" s="18"/>
      <c r="F554" s="18"/>
      <c r="G554" s="18"/>
      <c r="H554" s="58"/>
      <c r="I554" s="21"/>
      <c r="J554" s="22"/>
    </row>
    <row r="555" spans="1:10" ht="13.2" x14ac:dyDescent="0.25">
      <c r="A555" s="17"/>
      <c r="B555" s="17"/>
      <c r="D555" s="18"/>
      <c r="E555" s="18"/>
      <c r="F555" s="18"/>
      <c r="G555" s="18"/>
      <c r="H555" s="58"/>
      <c r="I555" s="21"/>
      <c r="J555" s="22"/>
    </row>
    <row r="556" spans="1:10" ht="13.2" x14ac:dyDescent="0.25">
      <c r="A556" s="17"/>
      <c r="B556" s="17"/>
      <c r="D556" s="18"/>
      <c r="E556" s="18"/>
      <c r="F556" s="18"/>
      <c r="G556" s="18"/>
      <c r="H556" s="58"/>
      <c r="I556" s="21"/>
      <c r="J556" s="22"/>
    </row>
    <row r="557" spans="1:10" ht="13.2" x14ac:dyDescent="0.25">
      <c r="A557" s="17"/>
      <c r="B557" s="17"/>
      <c r="D557" s="18"/>
      <c r="E557" s="18"/>
      <c r="F557" s="18"/>
      <c r="G557" s="18"/>
      <c r="H557" s="58"/>
      <c r="I557" s="21"/>
      <c r="J557" s="22"/>
    </row>
    <row r="558" spans="1:10" ht="13.2" x14ac:dyDescent="0.25">
      <c r="A558" s="17"/>
      <c r="B558" s="17"/>
      <c r="D558" s="18"/>
      <c r="E558" s="18"/>
      <c r="F558" s="18"/>
      <c r="G558" s="18"/>
      <c r="H558" s="58"/>
      <c r="I558" s="21"/>
      <c r="J558" s="22"/>
    </row>
    <row r="559" spans="1:10" ht="13.2" x14ac:dyDescent="0.25">
      <c r="A559" s="17"/>
      <c r="B559" s="17"/>
      <c r="D559" s="18"/>
      <c r="E559" s="18"/>
      <c r="F559" s="18"/>
      <c r="G559" s="18"/>
      <c r="H559" s="58"/>
      <c r="I559" s="21"/>
      <c r="J559" s="22"/>
    </row>
    <row r="560" spans="1:10" ht="13.2" x14ac:dyDescent="0.25">
      <c r="A560" s="17"/>
      <c r="B560" s="17"/>
      <c r="D560" s="18"/>
      <c r="E560" s="18"/>
      <c r="F560" s="18"/>
      <c r="G560" s="18"/>
      <c r="H560" s="58"/>
      <c r="I560" s="21"/>
      <c r="J560" s="22"/>
    </row>
    <row r="561" spans="1:10" ht="13.2" x14ac:dyDescent="0.25">
      <c r="A561" s="17"/>
      <c r="B561" s="17"/>
      <c r="D561" s="18"/>
      <c r="E561" s="18"/>
      <c r="F561" s="18"/>
      <c r="G561" s="18"/>
      <c r="H561" s="58"/>
      <c r="I561" s="21"/>
      <c r="J561" s="22"/>
    </row>
    <row r="562" spans="1:10" ht="13.2" x14ac:dyDescent="0.25">
      <c r="A562" s="17"/>
      <c r="B562" s="17"/>
      <c r="D562" s="18"/>
      <c r="E562" s="18"/>
      <c r="F562" s="18"/>
      <c r="G562" s="18"/>
      <c r="H562" s="58"/>
      <c r="I562" s="21"/>
      <c r="J562" s="22"/>
    </row>
    <row r="563" spans="1:10" ht="13.2" x14ac:dyDescent="0.25">
      <c r="A563" s="17"/>
      <c r="B563" s="17"/>
      <c r="D563" s="18"/>
      <c r="E563" s="18"/>
      <c r="F563" s="18"/>
      <c r="G563" s="18"/>
      <c r="H563" s="58"/>
      <c r="I563" s="21"/>
      <c r="J563" s="22"/>
    </row>
    <row r="564" spans="1:10" ht="13.2" x14ac:dyDescent="0.25">
      <c r="A564" s="17"/>
      <c r="B564" s="17"/>
      <c r="D564" s="18"/>
      <c r="E564" s="18"/>
      <c r="F564" s="18"/>
      <c r="G564" s="18"/>
      <c r="H564" s="58"/>
      <c r="I564" s="21"/>
      <c r="J564" s="22"/>
    </row>
    <row r="565" spans="1:10" ht="13.2" x14ac:dyDescent="0.25">
      <c r="A565" s="17"/>
      <c r="B565" s="17"/>
      <c r="D565" s="18"/>
      <c r="E565" s="18"/>
      <c r="F565" s="18"/>
      <c r="G565" s="18"/>
      <c r="H565" s="58"/>
      <c r="I565" s="21"/>
      <c r="J565" s="22"/>
    </row>
    <row r="566" spans="1:10" ht="13.2" x14ac:dyDescent="0.25">
      <c r="A566" s="17"/>
      <c r="B566" s="17"/>
      <c r="D566" s="18"/>
      <c r="E566" s="18"/>
      <c r="F566" s="18"/>
      <c r="G566" s="18"/>
      <c r="H566" s="58"/>
      <c r="I566" s="21"/>
      <c r="J566" s="22"/>
    </row>
    <row r="567" spans="1:10" ht="13.2" x14ac:dyDescent="0.25">
      <c r="A567" s="17"/>
      <c r="B567" s="17"/>
      <c r="D567" s="18"/>
      <c r="E567" s="18"/>
      <c r="F567" s="18"/>
      <c r="G567" s="18"/>
      <c r="H567" s="58"/>
      <c r="I567" s="21"/>
      <c r="J567" s="22"/>
    </row>
    <row r="568" spans="1:10" ht="13.2" x14ac:dyDescent="0.25">
      <c r="A568" s="17"/>
      <c r="B568" s="17"/>
      <c r="D568" s="18"/>
      <c r="E568" s="18"/>
      <c r="F568" s="18"/>
      <c r="G568" s="18"/>
      <c r="H568" s="58"/>
      <c r="I568" s="21"/>
      <c r="J568" s="22"/>
    </row>
    <row r="569" spans="1:10" ht="13.2" x14ac:dyDescent="0.25">
      <c r="A569" s="17"/>
      <c r="B569" s="17"/>
      <c r="D569" s="18"/>
      <c r="E569" s="18"/>
      <c r="F569" s="18"/>
      <c r="G569" s="18"/>
      <c r="H569" s="58"/>
      <c r="I569" s="21"/>
      <c r="J569" s="22"/>
    </row>
    <row r="570" spans="1:10" ht="13.2" x14ac:dyDescent="0.25">
      <c r="A570" s="17"/>
      <c r="B570" s="17"/>
      <c r="D570" s="18"/>
      <c r="E570" s="18"/>
      <c r="F570" s="18"/>
      <c r="G570" s="18"/>
      <c r="H570" s="58"/>
      <c r="I570" s="21"/>
      <c r="J570" s="22"/>
    </row>
    <row r="571" spans="1:10" ht="13.2" x14ac:dyDescent="0.25">
      <c r="A571" s="17"/>
      <c r="B571" s="17"/>
      <c r="D571" s="18"/>
      <c r="E571" s="18"/>
      <c r="F571" s="18"/>
      <c r="G571" s="18"/>
      <c r="H571" s="58"/>
      <c r="I571" s="21"/>
      <c r="J571" s="22"/>
    </row>
    <row r="572" spans="1:10" ht="13.2" x14ac:dyDescent="0.25">
      <c r="A572" s="17"/>
      <c r="B572" s="17"/>
      <c r="D572" s="18"/>
      <c r="E572" s="18"/>
      <c r="F572" s="18"/>
      <c r="G572" s="18"/>
      <c r="H572" s="58"/>
      <c r="I572" s="21"/>
      <c r="J572" s="22"/>
    </row>
    <row r="573" spans="1:10" ht="13.2" x14ac:dyDescent="0.25">
      <c r="A573" s="17"/>
      <c r="B573" s="17"/>
      <c r="D573" s="18"/>
      <c r="E573" s="18"/>
      <c r="F573" s="18"/>
      <c r="G573" s="18"/>
      <c r="H573" s="58"/>
      <c r="I573" s="21"/>
      <c r="J573" s="22"/>
    </row>
    <row r="574" spans="1:10" ht="13.2" x14ac:dyDescent="0.25">
      <c r="A574" s="17"/>
      <c r="B574" s="17"/>
      <c r="D574" s="18"/>
      <c r="E574" s="18"/>
      <c r="F574" s="18"/>
      <c r="G574" s="18"/>
      <c r="H574" s="58"/>
      <c r="I574" s="21"/>
      <c r="J574" s="22"/>
    </row>
    <row r="575" spans="1:10" ht="13.2" x14ac:dyDescent="0.25">
      <c r="A575" s="17"/>
      <c r="B575" s="17"/>
      <c r="D575" s="18"/>
      <c r="E575" s="18"/>
      <c r="F575" s="18"/>
      <c r="G575" s="18"/>
      <c r="H575" s="58"/>
      <c r="I575" s="21"/>
      <c r="J575" s="22"/>
    </row>
    <row r="576" spans="1:10" ht="13.2" x14ac:dyDescent="0.25">
      <c r="A576" s="17"/>
      <c r="B576" s="17"/>
      <c r="D576" s="18"/>
      <c r="E576" s="18"/>
      <c r="F576" s="18"/>
      <c r="G576" s="18"/>
      <c r="H576" s="58"/>
      <c r="I576" s="21"/>
      <c r="J576" s="22"/>
    </row>
    <row r="577" spans="1:10" ht="13.2" x14ac:dyDescent="0.25">
      <c r="A577" s="17"/>
      <c r="B577" s="17"/>
      <c r="D577" s="18"/>
      <c r="E577" s="18"/>
      <c r="F577" s="18"/>
      <c r="G577" s="18"/>
      <c r="H577" s="58"/>
      <c r="I577" s="21"/>
      <c r="J577" s="22"/>
    </row>
    <row r="578" spans="1:10" ht="13.2" x14ac:dyDescent="0.25">
      <c r="A578" s="17"/>
      <c r="B578" s="17"/>
      <c r="D578" s="18"/>
      <c r="E578" s="18"/>
      <c r="F578" s="18"/>
      <c r="G578" s="18"/>
      <c r="H578" s="58"/>
      <c r="I578" s="21"/>
      <c r="J578" s="22"/>
    </row>
    <row r="579" spans="1:10" ht="13.2" x14ac:dyDescent="0.25">
      <c r="A579" s="17"/>
      <c r="B579" s="17"/>
      <c r="D579" s="18"/>
      <c r="E579" s="18"/>
      <c r="F579" s="18"/>
      <c r="G579" s="18"/>
      <c r="H579" s="58"/>
      <c r="I579" s="21"/>
      <c r="J579" s="22"/>
    </row>
    <row r="580" spans="1:10" ht="13.2" x14ac:dyDescent="0.25">
      <c r="A580" s="17"/>
      <c r="B580" s="17"/>
      <c r="D580" s="18"/>
      <c r="E580" s="18"/>
      <c r="F580" s="18"/>
      <c r="G580" s="18"/>
      <c r="H580" s="58"/>
      <c r="I580" s="21"/>
      <c r="J580" s="22"/>
    </row>
    <row r="581" spans="1:10" ht="13.2" x14ac:dyDescent="0.25">
      <c r="A581" s="17"/>
      <c r="B581" s="17"/>
      <c r="D581" s="18"/>
      <c r="E581" s="18"/>
      <c r="F581" s="18"/>
      <c r="G581" s="18"/>
      <c r="H581" s="58"/>
      <c r="I581" s="21"/>
      <c r="J581" s="22"/>
    </row>
    <row r="582" spans="1:10" ht="13.2" x14ac:dyDescent="0.25">
      <c r="A582" s="17"/>
      <c r="B582" s="17"/>
      <c r="D582" s="18"/>
      <c r="E582" s="18"/>
      <c r="F582" s="18"/>
      <c r="G582" s="18"/>
      <c r="H582" s="58"/>
      <c r="I582" s="21"/>
      <c r="J582" s="22"/>
    </row>
    <row r="583" spans="1:10" ht="13.2" x14ac:dyDescent="0.25">
      <c r="A583" s="17"/>
      <c r="B583" s="17"/>
      <c r="D583" s="18"/>
      <c r="E583" s="18"/>
      <c r="F583" s="18"/>
      <c r="G583" s="18"/>
      <c r="H583" s="58"/>
      <c r="I583" s="21"/>
      <c r="J583" s="22"/>
    </row>
    <row r="584" spans="1:10" ht="13.2" x14ac:dyDescent="0.25">
      <c r="A584" s="17"/>
      <c r="B584" s="17"/>
      <c r="D584" s="18"/>
      <c r="E584" s="18"/>
      <c r="F584" s="18"/>
      <c r="G584" s="18"/>
      <c r="H584" s="58"/>
      <c r="I584" s="21"/>
      <c r="J584" s="22"/>
    </row>
    <row r="585" spans="1:10" ht="13.2" x14ac:dyDescent="0.25">
      <c r="A585" s="17"/>
      <c r="B585" s="17"/>
      <c r="D585" s="18"/>
      <c r="E585" s="18"/>
      <c r="F585" s="18"/>
      <c r="G585" s="18"/>
      <c r="H585" s="58"/>
      <c r="I585" s="21"/>
      <c r="J585" s="22"/>
    </row>
    <row r="586" spans="1:10" ht="13.2" x14ac:dyDescent="0.25">
      <c r="A586" s="17"/>
      <c r="B586" s="17"/>
      <c r="D586" s="18"/>
      <c r="E586" s="18"/>
      <c r="F586" s="18"/>
      <c r="G586" s="18"/>
      <c r="H586" s="58"/>
      <c r="I586" s="21"/>
      <c r="J586" s="22"/>
    </row>
    <row r="587" spans="1:10" ht="13.2" x14ac:dyDescent="0.25">
      <c r="A587" s="17"/>
      <c r="B587" s="17"/>
      <c r="D587" s="18"/>
      <c r="E587" s="18"/>
      <c r="F587" s="18"/>
      <c r="G587" s="18"/>
      <c r="H587" s="58"/>
      <c r="I587" s="21"/>
      <c r="J587" s="22"/>
    </row>
    <row r="588" spans="1:10" ht="13.2" x14ac:dyDescent="0.25">
      <c r="A588" s="17"/>
      <c r="B588" s="17"/>
      <c r="D588" s="18"/>
      <c r="E588" s="18"/>
      <c r="F588" s="18"/>
      <c r="G588" s="18"/>
      <c r="H588" s="58"/>
      <c r="I588" s="21"/>
      <c r="J588" s="22"/>
    </row>
    <row r="589" spans="1:10" ht="13.2" x14ac:dyDescent="0.25">
      <c r="A589" s="17"/>
      <c r="B589" s="17"/>
      <c r="D589" s="18"/>
      <c r="E589" s="18"/>
      <c r="F589" s="18"/>
      <c r="G589" s="18"/>
      <c r="H589" s="58"/>
      <c r="I589" s="21"/>
      <c r="J589" s="22"/>
    </row>
    <row r="590" spans="1:10" ht="13.2" x14ac:dyDescent="0.25">
      <c r="A590" s="17"/>
      <c r="B590" s="17"/>
      <c r="D590" s="18"/>
      <c r="E590" s="18"/>
      <c r="F590" s="18"/>
      <c r="G590" s="18"/>
      <c r="H590" s="58"/>
      <c r="I590" s="21"/>
      <c r="J590" s="22"/>
    </row>
    <row r="591" spans="1:10" ht="13.2" x14ac:dyDescent="0.25">
      <c r="A591" s="17"/>
      <c r="B591" s="17"/>
      <c r="D591" s="18"/>
      <c r="E591" s="18"/>
      <c r="F591" s="18"/>
      <c r="G591" s="18"/>
      <c r="H591" s="58"/>
      <c r="I591" s="21"/>
      <c r="J591" s="22"/>
    </row>
    <row r="592" spans="1:10" ht="13.2" x14ac:dyDescent="0.25">
      <c r="A592" s="17"/>
      <c r="B592" s="17"/>
      <c r="D592" s="18"/>
      <c r="E592" s="18"/>
      <c r="F592" s="18"/>
      <c r="G592" s="18"/>
      <c r="H592" s="58"/>
      <c r="I592" s="21"/>
      <c r="J592" s="22"/>
    </row>
    <row r="593" spans="1:10" ht="13.2" x14ac:dyDescent="0.25">
      <c r="A593" s="17"/>
      <c r="B593" s="17"/>
      <c r="D593" s="18"/>
      <c r="E593" s="18"/>
      <c r="F593" s="18"/>
      <c r="G593" s="18"/>
      <c r="H593" s="58"/>
      <c r="I593" s="21"/>
      <c r="J593" s="22"/>
    </row>
    <row r="594" spans="1:10" ht="13.2" x14ac:dyDescent="0.25">
      <c r="A594" s="17"/>
      <c r="B594" s="17"/>
      <c r="D594" s="18"/>
      <c r="E594" s="18"/>
      <c r="F594" s="18"/>
      <c r="G594" s="18"/>
      <c r="H594" s="58"/>
      <c r="I594" s="21"/>
      <c r="J594" s="22"/>
    </row>
    <row r="595" spans="1:10" ht="13.2" x14ac:dyDescent="0.25">
      <c r="A595" s="17"/>
      <c r="B595" s="17"/>
      <c r="D595" s="18"/>
      <c r="E595" s="18"/>
      <c r="F595" s="18"/>
      <c r="G595" s="18"/>
      <c r="H595" s="58"/>
      <c r="I595" s="21"/>
      <c r="J595" s="22"/>
    </row>
    <row r="596" spans="1:10" ht="13.2" x14ac:dyDescent="0.25">
      <c r="A596" s="17"/>
      <c r="B596" s="17"/>
      <c r="D596" s="18"/>
      <c r="E596" s="18"/>
      <c r="F596" s="18"/>
      <c r="G596" s="18"/>
      <c r="H596" s="58"/>
      <c r="I596" s="21"/>
      <c r="J596" s="22"/>
    </row>
    <row r="597" spans="1:10" ht="13.2" x14ac:dyDescent="0.25">
      <c r="A597" s="17"/>
      <c r="B597" s="17"/>
      <c r="D597" s="18"/>
      <c r="E597" s="18"/>
      <c r="F597" s="18"/>
      <c r="G597" s="18"/>
      <c r="H597" s="58"/>
      <c r="I597" s="21"/>
      <c r="J597" s="22"/>
    </row>
    <row r="598" spans="1:10" ht="13.2" x14ac:dyDescent="0.25">
      <c r="A598" s="17"/>
      <c r="B598" s="17"/>
      <c r="D598" s="18"/>
      <c r="E598" s="18"/>
      <c r="F598" s="18"/>
      <c r="G598" s="18"/>
      <c r="H598" s="58"/>
      <c r="I598" s="21"/>
      <c r="J598" s="22"/>
    </row>
    <row r="599" spans="1:10" ht="13.2" x14ac:dyDescent="0.25">
      <c r="A599" s="17"/>
      <c r="B599" s="17"/>
      <c r="D599" s="18"/>
      <c r="E599" s="18"/>
      <c r="F599" s="18"/>
      <c r="G599" s="18"/>
      <c r="H599" s="58"/>
      <c r="I599" s="21"/>
      <c r="J599" s="22"/>
    </row>
    <row r="600" spans="1:10" ht="13.2" x14ac:dyDescent="0.25">
      <c r="A600" s="17"/>
      <c r="B600" s="17"/>
      <c r="D600" s="18"/>
      <c r="E600" s="18"/>
      <c r="F600" s="18"/>
      <c r="G600" s="18"/>
      <c r="H600" s="58"/>
      <c r="I600" s="21"/>
      <c r="J600" s="22"/>
    </row>
    <row r="601" spans="1:10" ht="13.2" x14ac:dyDescent="0.25">
      <c r="A601" s="17"/>
      <c r="B601" s="17"/>
      <c r="D601" s="18"/>
      <c r="E601" s="18"/>
      <c r="F601" s="18"/>
      <c r="G601" s="18"/>
      <c r="H601" s="58"/>
      <c r="I601" s="21"/>
      <c r="J601" s="22"/>
    </row>
    <row r="602" spans="1:10" ht="13.2" x14ac:dyDescent="0.25">
      <c r="A602" s="17"/>
      <c r="B602" s="17"/>
      <c r="D602" s="18"/>
      <c r="E602" s="18"/>
      <c r="F602" s="18"/>
      <c r="G602" s="18"/>
      <c r="H602" s="58"/>
      <c r="I602" s="21"/>
      <c r="J602" s="22"/>
    </row>
    <row r="603" spans="1:10" ht="13.2" x14ac:dyDescent="0.25">
      <c r="A603" s="17"/>
      <c r="B603" s="17"/>
      <c r="D603" s="18"/>
      <c r="E603" s="18"/>
      <c r="F603" s="18"/>
      <c r="G603" s="18"/>
      <c r="H603" s="58"/>
      <c r="I603" s="21"/>
      <c r="J603" s="22"/>
    </row>
    <row r="604" spans="1:10" ht="13.2" x14ac:dyDescent="0.25">
      <c r="A604" s="17"/>
      <c r="B604" s="17"/>
      <c r="D604" s="18"/>
      <c r="E604" s="18"/>
      <c r="F604" s="18"/>
      <c r="G604" s="18"/>
      <c r="H604" s="58"/>
      <c r="I604" s="21"/>
      <c r="J604" s="22"/>
    </row>
    <row r="605" spans="1:10" ht="13.2" x14ac:dyDescent="0.25">
      <c r="A605" s="17"/>
      <c r="B605" s="17"/>
      <c r="D605" s="18"/>
      <c r="E605" s="18"/>
      <c r="F605" s="18"/>
      <c r="G605" s="18"/>
      <c r="H605" s="58"/>
      <c r="I605" s="21"/>
      <c r="J605" s="22"/>
    </row>
    <row r="606" spans="1:10" ht="13.2" x14ac:dyDescent="0.25">
      <c r="A606" s="17"/>
      <c r="B606" s="17"/>
      <c r="D606" s="18"/>
      <c r="E606" s="18"/>
      <c r="F606" s="18"/>
      <c r="G606" s="18"/>
      <c r="H606" s="58"/>
      <c r="I606" s="21"/>
      <c r="J606" s="22"/>
    </row>
    <row r="607" spans="1:10" ht="13.2" x14ac:dyDescent="0.25">
      <c r="A607" s="17"/>
      <c r="B607" s="17"/>
      <c r="D607" s="18"/>
      <c r="E607" s="18"/>
      <c r="F607" s="18"/>
      <c r="G607" s="18"/>
      <c r="H607" s="58"/>
      <c r="I607" s="21"/>
      <c r="J607" s="22"/>
    </row>
    <row r="608" spans="1:10" ht="13.2" x14ac:dyDescent="0.25">
      <c r="A608" s="17"/>
      <c r="B608" s="17"/>
      <c r="D608" s="18"/>
      <c r="E608" s="18"/>
      <c r="F608" s="18"/>
      <c r="G608" s="18"/>
      <c r="H608" s="58"/>
      <c r="I608" s="21"/>
      <c r="J608" s="22"/>
    </row>
    <row r="609" spans="1:10" ht="13.2" x14ac:dyDescent="0.25">
      <c r="A609" s="17"/>
      <c r="B609" s="17"/>
      <c r="D609" s="18"/>
      <c r="E609" s="18"/>
      <c r="F609" s="18"/>
      <c r="G609" s="18"/>
      <c r="H609" s="58"/>
      <c r="I609" s="21"/>
      <c r="J609" s="22"/>
    </row>
    <row r="610" spans="1:10" ht="13.2" x14ac:dyDescent="0.25">
      <c r="A610" s="17"/>
      <c r="B610" s="17"/>
      <c r="D610" s="18"/>
      <c r="E610" s="18"/>
      <c r="F610" s="18"/>
      <c r="G610" s="18"/>
      <c r="H610" s="58"/>
      <c r="I610" s="21"/>
      <c r="J610" s="22"/>
    </row>
    <row r="611" spans="1:10" ht="13.2" x14ac:dyDescent="0.25">
      <c r="A611" s="17"/>
      <c r="B611" s="17"/>
      <c r="D611" s="18"/>
      <c r="E611" s="18"/>
      <c r="F611" s="18"/>
      <c r="G611" s="18"/>
      <c r="H611" s="58"/>
      <c r="I611" s="21"/>
      <c r="J611" s="22"/>
    </row>
    <row r="612" spans="1:10" ht="13.2" x14ac:dyDescent="0.25">
      <c r="A612" s="17"/>
      <c r="B612" s="17"/>
      <c r="D612" s="18"/>
      <c r="E612" s="18"/>
      <c r="F612" s="18"/>
      <c r="G612" s="18"/>
      <c r="H612" s="58"/>
      <c r="I612" s="21"/>
      <c r="J612" s="22"/>
    </row>
    <row r="613" spans="1:10" ht="13.2" x14ac:dyDescent="0.25">
      <c r="A613" s="17"/>
      <c r="B613" s="17"/>
      <c r="D613" s="18"/>
      <c r="E613" s="18"/>
      <c r="F613" s="18"/>
      <c r="G613" s="18"/>
      <c r="H613" s="58"/>
      <c r="I613" s="21"/>
      <c r="J613" s="22"/>
    </row>
    <row r="614" spans="1:10" ht="13.2" x14ac:dyDescent="0.25">
      <c r="A614" s="17"/>
      <c r="B614" s="17"/>
      <c r="D614" s="18"/>
      <c r="E614" s="18"/>
      <c r="F614" s="18"/>
      <c r="G614" s="18"/>
      <c r="H614" s="58"/>
      <c r="I614" s="21"/>
      <c r="J614" s="22"/>
    </row>
    <row r="615" spans="1:10" ht="13.2" x14ac:dyDescent="0.25">
      <c r="A615" s="17"/>
      <c r="B615" s="17"/>
      <c r="D615" s="18"/>
      <c r="E615" s="18"/>
      <c r="F615" s="18"/>
      <c r="G615" s="18"/>
      <c r="H615" s="58"/>
      <c r="I615" s="21"/>
      <c r="J615" s="22"/>
    </row>
    <row r="616" spans="1:10" ht="13.2" x14ac:dyDescent="0.25">
      <c r="A616" s="17"/>
      <c r="B616" s="17"/>
      <c r="D616" s="18"/>
      <c r="E616" s="18"/>
      <c r="F616" s="18"/>
      <c r="G616" s="18"/>
      <c r="H616" s="58"/>
      <c r="I616" s="21"/>
      <c r="J616" s="22"/>
    </row>
    <row r="617" spans="1:10" ht="13.2" x14ac:dyDescent="0.25">
      <c r="A617" s="17"/>
      <c r="B617" s="17"/>
      <c r="D617" s="18"/>
      <c r="E617" s="18"/>
      <c r="F617" s="18"/>
      <c r="G617" s="18"/>
      <c r="H617" s="58"/>
      <c r="I617" s="21"/>
      <c r="J617" s="22"/>
    </row>
    <row r="618" spans="1:10" ht="13.2" x14ac:dyDescent="0.25">
      <c r="A618" s="17"/>
      <c r="B618" s="17"/>
      <c r="D618" s="18"/>
      <c r="E618" s="18"/>
      <c r="F618" s="18"/>
      <c r="G618" s="18"/>
      <c r="H618" s="58"/>
      <c r="I618" s="21"/>
      <c r="J618" s="22"/>
    </row>
    <row r="619" spans="1:10" ht="13.2" x14ac:dyDescent="0.25">
      <c r="A619" s="17"/>
      <c r="B619" s="17"/>
      <c r="D619" s="18"/>
      <c r="E619" s="18"/>
      <c r="F619" s="18"/>
      <c r="G619" s="18"/>
      <c r="H619" s="58"/>
      <c r="I619" s="21"/>
      <c r="J619" s="22"/>
    </row>
    <row r="620" spans="1:10" ht="13.2" x14ac:dyDescent="0.25">
      <c r="A620" s="17"/>
      <c r="B620" s="17"/>
      <c r="D620" s="18"/>
      <c r="E620" s="18"/>
      <c r="F620" s="18"/>
      <c r="G620" s="18"/>
      <c r="H620" s="58"/>
      <c r="I620" s="21"/>
      <c r="J620" s="22"/>
    </row>
    <row r="621" spans="1:10" ht="13.2" x14ac:dyDescent="0.25">
      <c r="A621" s="17"/>
      <c r="B621" s="17"/>
      <c r="D621" s="18"/>
      <c r="E621" s="18"/>
      <c r="F621" s="18"/>
      <c r="G621" s="18"/>
      <c r="H621" s="58"/>
      <c r="I621" s="21"/>
      <c r="J621" s="22"/>
    </row>
    <row r="622" spans="1:10" ht="13.2" x14ac:dyDescent="0.25">
      <c r="A622" s="17"/>
      <c r="B622" s="17"/>
      <c r="D622" s="18"/>
      <c r="E622" s="18"/>
      <c r="F622" s="18"/>
      <c r="G622" s="18"/>
      <c r="H622" s="58"/>
      <c r="I622" s="21"/>
      <c r="J622" s="22"/>
    </row>
    <row r="623" spans="1:10" ht="13.2" x14ac:dyDescent="0.25">
      <c r="A623" s="17"/>
      <c r="B623" s="17"/>
      <c r="D623" s="18"/>
      <c r="E623" s="18"/>
      <c r="F623" s="18"/>
      <c r="G623" s="18"/>
      <c r="H623" s="58"/>
      <c r="I623" s="21"/>
      <c r="J623" s="22"/>
    </row>
    <row r="624" spans="1:10" ht="13.2" x14ac:dyDescent="0.25">
      <c r="A624" s="17"/>
      <c r="B624" s="17"/>
      <c r="D624" s="18"/>
      <c r="E624" s="18"/>
      <c r="F624" s="18"/>
      <c r="G624" s="18"/>
      <c r="H624" s="58"/>
      <c r="I624" s="21"/>
      <c r="J624" s="22"/>
    </row>
    <row r="625" spans="1:10" ht="13.2" x14ac:dyDescent="0.25">
      <c r="A625" s="17"/>
      <c r="B625" s="17"/>
      <c r="D625" s="18"/>
      <c r="E625" s="18"/>
      <c r="F625" s="18"/>
      <c r="G625" s="18"/>
      <c r="H625" s="58"/>
      <c r="I625" s="21"/>
      <c r="J625" s="22"/>
    </row>
    <row r="626" spans="1:10" ht="13.2" x14ac:dyDescent="0.25">
      <c r="A626" s="17"/>
      <c r="B626" s="17"/>
      <c r="D626" s="18"/>
      <c r="E626" s="18"/>
      <c r="F626" s="18"/>
      <c r="G626" s="18"/>
      <c r="H626" s="58"/>
      <c r="I626" s="21"/>
      <c r="J626" s="22"/>
    </row>
    <row r="627" spans="1:10" ht="13.2" x14ac:dyDescent="0.25">
      <c r="A627" s="17"/>
      <c r="B627" s="17"/>
      <c r="D627" s="18"/>
      <c r="E627" s="18"/>
      <c r="F627" s="18"/>
      <c r="G627" s="18"/>
      <c r="H627" s="58"/>
      <c r="I627" s="21"/>
      <c r="J627" s="22"/>
    </row>
    <row r="628" spans="1:10" ht="13.2" x14ac:dyDescent="0.25">
      <c r="A628" s="17"/>
      <c r="B628" s="17"/>
      <c r="D628" s="18"/>
      <c r="E628" s="18"/>
      <c r="F628" s="18"/>
      <c r="G628" s="18"/>
      <c r="H628" s="58"/>
      <c r="I628" s="21"/>
      <c r="J628" s="22"/>
    </row>
    <row r="629" spans="1:10" ht="13.2" x14ac:dyDescent="0.25">
      <c r="A629" s="17"/>
      <c r="B629" s="17"/>
      <c r="D629" s="18"/>
      <c r="E629" s="18"/>
      <c r="F629" s="18"/>
      <c r="G629" s="18"/>
      <c r="H629" s="58"/>
      <c r="I629" s="21"/>
      <c r="J629" s="22"/>
    </row>
    <row r="630" spans="1:10" ht="13.2" x14ac:dyDescent="0.25">
      <c r="A630" s="17"/>
      <c r="B630" s="17"/>
      <c r="D630" s="18"/>
      <c r="E630" s="18"/>
      <c r="F630" s="18"/>
      <c r="G630" s="18"/>
      <c r="H630" s="58"/>
      <c r="I630" s="21"/>
      <c r="J630" s="22"/>
    </row>
    <row r="631" spans="1:10" ht="13.2" x14ac:dyDescent="0.25">
      <c r="A631" s="17"/>
      <c r="B631" s="17"/>
      <c r="D631" s="18"/>
      <c r="E631" s="18"/>
      <c r="F631" s="18"/>
      <c r="G631" s="18"/>
      <c r="H631" s="58"/>
      <c r="I631" s="21"/>
      <c r="J631" s="22"/>
    </row>
    <row r="632" spans="1:10" ht="13.2" x14ac:dyDescent="0.25">
      <c r="A632" s="17"/>
      <c r="B632" s="17"/>
      <c r="D632" s="18"/>
      <c r="E632" s="18"/>
      <c r="F632" s="18"/>
      <c r="G632" s="18"/>
      <c r="H632" s="58"/>
      <c r="I632" s="21"/>
      <c r="J632" s="22"/>
    </row>
    <row r="633" spans="1:10" ht="13.2" x14ac:dyDescent="0.25">
      <c r="A633" s="17"/>
      <c r="B633" s="17"/>
      <c r="D633" s="18"/>
      <c r="E633" s="18"/>
      <c r="F633" s="18"/>
      <c r="G633" s="18"/>
      <c r="H633" s="58"/>
      <c r="I633" s="21"/>
      <c r="J633" s="22"/>
    </row>
    <row r="634" spans="1:10" ht="13.2" x14ac:dyDescent="0.25">
      <c r="A634" s="17"/>
      <c r="B634" s="17"/>
      <c r="D634" s="18"/>
      <c r="E634" s="18"/>
      <c r="F634" s="18"/>
      <c r="G634" s="18"/>
      <c r="H634" s="58"/>
      <c r="I634" s="21"/>
      <c r="J634" s="22"/>
    </row>
    <row r="635" spans="1:10" ht="13.2" x14ac:dyDescent="0.25">
      <c r="A635" s="17"/>
      <c r="B635" s="17"/>
      <c r="D635" s="18"/>
      <c r="E635" s="18"/>
      <c r="F635" s="18"/>
      <c r="G635" s="18"/>
      <c r="H635" s="58"/>
      <c r="I635" s="21"/>
      <c r="J635" s="22"/>
    </row>
    <row r="636" spans="1:10" ht="13.2" x14ac:dyDescent="0.25">
      <c r="A636" s="17"/>
      <c r="B636" s="17"/>
      <c r="D636" s="18"/>
      <c r="E636" s="18"/>
      <c r="F636" s="18"/>
      <c r="G636" s="18"/>
      <c r="H636" s="58"/>
      <c r="I636" s="21"/>
      <c r="J636" s="22"/>
    </row>
    <row r="637" spans="1:10" ht="13.2" x14ac:dyDescent="0.25">
      <c r="A637" s="17"/>
      <c r="B637" s="17"/>
      <c r="D637" s="18"/>
      <c r="E637" s="18"/>
      <c r="F637" s="18"/>
      <c r="G637" s="18"/>
      <c r="H637" s="58"/>
      <c r="I637" s="21"/>
      <c r="J637" s="22"/>
    </row>
    <row r="638" spans="1:10" ht="13.2" x14ac:dyDescent="0.25">
      <c r="A638" s="17"/>
      <c r="B638" s="17"/>
      <c r="D638" s="18"/>
      <c r="E638" s="18"/>
      <c r="F638" s="18"/>
      <c r="G638" s="18"/>
      <c r="H638" s="58"/>
      <c r="I638" s="21"/>
      <c r="J638" s="22"/>
    </row>
    <row r="639" spans="1:10" ht="13.2" x14ac:dyDescent="0.25">
      <c r="A639" s="17"/>
      <c r="B639" s="17"/>
      <c r="D639" s="18"/>
      <c r="E639" s="18"/>
      <c r="F639" s="18"/>
      <c r="G639" s="18"/>
      <c r="H639" s="58"/>
      <c r="I639" s="21"/>
      <c r="J639" s="22"/>
    </row>
    <row r="640" spans="1:10" ht="13.2" x14ac:dyDescent="0.25">
      <c r="A640" s="17"/>
      <c r="B640" s="17"/>
      <c r="D640" s="18"/>
      <c r="E640" s="18"/>
      <c r="F640" s="18"/>
      <c r="G640" s="18"/>
      <c r="H640" s="58"/>
      <c r="I640" s="21"/>
      <c r="J640" s="22"/>
    </row>
    <row r="641" spans="1:10" ht="13.2" x14ac:dyDescent="0.25">
      <c r="A641" s="17"/>
      <c r="B641" s="17"/>
      <c r="D641" s="18"/>
      <c r="E641" s="18"/>
      <c r="F641" s="18"/>
      <c r="G641" s="18"/>
      <c r="H641" s="58"/>
      <c r="I641" s="21"/>
      <c r="J641" s="22"/>
    </row>
    <row r="642" spans="1:10" ht="13.2" x14ac:dyDescent="0.25">
      <c r="A642" s="17"/>
      <c r="B642" s="17"/>
      <c r="D642" s="18"/>
      <c r="E642" s="18"/>
      <c r="F642" s="18"/>
      <c r="G642" s="18"/>
      <c r="H642" s="58"/>
      <c r="I642" s="21"/>
      <c r="J642" s="22"/>
    </row>
    <row r="643" spans="1:10" ht="13.2" x14ac:dyDescent="0.25">
      <c r="A643" s="17"/>
      <c r="B643" s="17"/>
      <c r="D643" s="18"/>
      <c r="E643" s="18"/>
      <c r="F643" s="18"/>
      <c r="G643" s="18"/>
      <c r="H643" s="58"/>
      <c r="I643" s="21"/>
      <c r="J643" s="22"/>
    </row>
    <row r="644" spans="1:10" ht="13.2" x14ac:dyDescent="0.25">
      <c r="A644" s="17"/>
      <c r="B644" s="17"/>
      <c r="D644" s="18"/>
      <c r="E644" s="18"/>
      <c r="F644" s="18"/>
      <c r="G644" s="18"/>
      <c r="H644" s="58"/>
      <c r="I644" s="21"/>
      <c r="J644" s="22"/>
    </row>
    <row r="645" spans="1:10" ht="13.2" x14ac:dyDescent="0.25">
      <c r="A645" s="17"/>
      <c r="B645" s="17"/>
      <c r="D645" s="18"/>
      <c r="E645" s="18"/>
      <c r="F645" s="18"/>
      <c r="G645" s="18"/>
      <c r="H645" s="58"/>
      <c r="I645" s="21"/>
      <c r="J645" s="22"/>
    </row>
    <row r="646" spans="1:10" ht="13.2" x14ac:dyDescent="0.25">
      <c r="A646" s="17"/>
      <c r="B646" s="17"/>
      <c r="D646" s="18"/>
      <c r="E646" s="18"/>
      <c r="F646" s="18"/>
      <c r="G646" s="18"/>
      <c r="H646" s="58"/>
      <c r="I646" s="21"/>
      <c r="J646" s="22"/>
    </row>
    <row r="647" spans="1:10" ht="13.2" x14ac:dyDescent="0.25">
      <c r="A647" s="17"/>
      <c r="B647" s="17"/>
      <c r="D647" s="18"/>
      <c r="E647" s="18"/>
      <c r="F647" s="18"/>
      <c r="G647" s="18"/>
      <c r="H647" s="58"/>
      <c r="I647" s="21"/>
      <c r="J647" s="22"/>
    </row>
    <row r="648" spans="1:10" ht="13.2" x14ac:dyDescent="0.25">
      <c r="A648" s="17"/>
      <c r="B648" s="17"/>
      <c r="D648" s="18"/>
      <c r="E648" s="18"/>
      <c r="F648" s="18"/>
      <c r="G648" s="18"/>
      <c r="H648" s="58"/>
      <c r="I648" s="21"/>
      <c r="J648" s="22"/>
    </row>
    <row r="649" spans="1:10" ht="13.2" x14ac:dyDescent="0.25">
      <c r="A649" s="17"/>
      <c r="B649" s="17"/>
      <c r="D649" s="18"/>
      <c r="E649" s="18"/>
      <c r="F649" s="18"/>
      <c r="G649" s="18"/>
      <c r="H649" s="58"/>
      <c r="I649" s="21"/>
      <c r="J649" s="22"/>
    </row>
    <row r="650" spans="1:10" ht="13.2" x14ac:dyDescent="0.25">
      <c r="A650" s="17"/>
      <c r="B650" s="17"/>
      <c r="D650" s="18"/>
      <c r="E650" s="18"/>
      <c r="F650" s="18"/>
      <c r="G650" s="18"/>
      <c r="H650" s="58"/>
      <c r="I650" s="21"/>
      <c r="J650" s="22"/>
    </row>
    <row r="651" spans="1:10" ht="13.2" x14ac:dyDescent="0.25">
      <c r="A651" s="17"/>
      <c r="B651" s="17"/>
      <c r="D651" s="18"/>
      <c r="E651" s="18"/>
      <c r="F651" s="18"/>
      <c r="G651" s="18"/>
      <c r="H651" s="58"/>
      <c r="I651" s="21"/>
      <c r="J651" s="22"/>
    </row>
    <row r="652" spans="1:10" ht="13.2" x14ac:dyDescent="0.25">
      <c r="A652" s="17"/>
      <c r="B652" s="17"/>
      <c r="D652" s="18"/>
      <c r="E652" s="18"/>
      <c r="F652" s="18"/>
      <c r="G652" s="18"/>
      <c r="H652" s="58"/>
      <c r="I652" s="21"/>
      <c r="J652" s="22"/>
    </row>
    <row r="653" spans="1:10" ht="13.2" x14ac:dyDescent="0.25">
      <c r="A653" s="17"/>
      <c r="B653" s="17"/>
      <c r="D653" s="18"/>
      <c r="E653" s="18"/>
      <c r="F653" s="18"/>
      <c r="G653" s="18"/>
      <c r="H653" s="58"/>
      <c r="I653" s="21"/>
      <c r="J653" s="22"/>
    </row>
    <row r="654" spans="1:10" ht="13.2" x14ac:dyDescent="0.25">
      <c r="A654" s="17"/>
      <c r="B654" s="17"/>
      <c r="D654" s="18"/>
      <c r="E654" s="18"/>
      <c r="F654" s="18"/>
      <c r="G654" s="18"/>
      <c r="H654" s="58"/>
      <c r="I654" s="21"/>
      <c r="J654" s="22"/>
    </row>
    <row r="655" spans="1:10" ht="13.2" x14ac:dyDescent="0.25">
      <c r="A655" s="17"/>
      <c r="B655" s="17"/>
      <c r="D655" s="18"/>
      <c r="E655" s="18"/>
      <c r="F655" s="18"/>
      <c r="G655" s="18"/>
      <c r="H655" s="58"/>
      <c r="I655" s="21"/>
      <c r="J655" s="22"/>
    </row>
    <row r="656" spans="1:10" ht="13.2" x14ac:dyDescent="0.25">
      <c r="A656" s="17"/>
      <c r="B656" s="17"/>
      <c r="D656" s="18"/>
      <c r="E656" s="18"/>
      <c r="F656" s="18"/>
      <c r="G656" s="18"/>
      <c r="H656" s="58"/>
      <c r="I656" s="21"/>
      <c r="J656" s="22"/>
    </row>
    <row r="657" spans="1:10" ht="13.2" x14ac:dyDescent="0.25">
      <c r="A657" s="17"/>
      <c r="B657" s="17"/>
      <c r="D657" s="18"/>
      <c r="E657" s="18"/>
      <c r="F657" s="18"/>
      <c r="G657" s="18"/>
      <c r="H657" s="58"/>
      <c r="I657" s="21"/>
      <c r="J657" s="22"/>
    </row>
    <row r="658" spans="1:10" ht="13.2" x14ac:dyDescent="0.25">
      <c r="A658" s="17"/>
      <c r="B658" s="17"/>
      <c r="D658" s="18"/>
      <c r="E658" s="18"/>
      <c r="F658" s="18"/>
      <c r="G658" s="18"/>
      <c r="H658" s="58"/>
      <c r="I658" s="21"/>
      <c r="J658" s="22"/>
    </row>
    <row r="659" spans="1:10" ht="13.2" x14ac:dyDescent="0.25">
      <c r="A659" s="17"/>
      <c r="B659" s="17"/>
      <c r="D659" s="18"/>
      <c r="E659" s="18"/>
      <c r="F659" s="18"/>
      <c r="G659" s="18"/>
      <c r="H659" s="58"/>
      <c r="I659" s="21"/>
      <c r="J659" s="22"/>
    </row>
    <row r="660" spans="1:10" ht="13.2" x14ac:dyDescent="0.25">
      <c r="A660" s="17"/>
      <c r="B660" s="17"/>
      <c r="D660" s="18"/>
      <c r="E660" s="18"/>
      <c r="F660" s="18"/>
      <c r="G660" s="18"/>
      <c r="H660" s="58"/>
      <c r="I660" s="21"/>
      <c r="J660" s="22"/>
    </row>
    <row r="661" spans="1:10" ht="13.2" x14ac:dyDescent="0.25">
      <c r="A661" s="17"/>
      <c r="B661" s="17"/>
      <c r="D661" s="18"/>
      <c r="E661" s="18"/>
      <c r="F661" s="18"/>
      <c r="G661" s="18"/>
      <c r="H661" s="58"/>
      <c r="I661" s="21"/>
      <c r="J661" s="22"/>
    </row>
    <row r="662" spans="1:10" ht="13.2" x14ac:dyDescent="0.25">
      <c r="A662" s="17"/>
      <c r="B662" s="17"/>
      <c r="D662" s="18"/>
      <c r="E662" s="18"/>
      <c r="F662" s="18"/>
      <c r="G662" s="18"/>
      <c r="H662" s="58"/>
      <c r="I662" s="21"/>
      <c r="J662" s="22"/>
    </row>
    <row r="663" spans="1:10" ht="13.2" x14ac:dyDescent="0.25">
      <c r="A663" s="17"/>
      <c r="B663" s="17"/>
      <c r="D663" s="18"/>
      <c r="E663" s="18"/>
      <c r="F663" s="18"/>
      <c r="G663" s="18"/>
      <c r="H663" s="58"/>
      <c r="I663" s="21"/>
      <c r="J663" s="22"/>
    </row>
    <row r="664" spans="1:10" ht="13.2" x14ac:dyDescent="0.25">
      <c r="A664" s="17"/>
      <c r="B664" s="17"/>
      <c r="D664" s="18"/>
      <c r="E664" s="18"/>
      <c r="F664" s="18"/>
      <c r="G664" s="18"/>
      <c r="H664" s="58"/>
      <c r="I664" s="21"/>
      <c r="J664" s="22"/>
    </row>
    <row r="665" spans="1:10" ht="13.2" x14ac:dyDescent="0.25">
      <c r="A665" s="17"/>
      <c r="B665" s="17"/>
      <c r="D665" s="18"/>
      <c r="E665" s="18"/>
      <c r="F665" s="18"/>
      <c r="G665" s="18"/>
      <c r="H665" s="58"/>
      <c r="I665" s="21"/>
      <c r="J665" s="22"/>
    </row>
    <row r="666" spans="1:10" ht="13.2" x14ac:dyDescent="0.25">
      <c r="A666" s="17"/>
      <c r="B666" s="17"/>
      <c r="D666" s="18"/>
      <c r="E666" s="18"/>
      <c r="F666" s="18"/>
      <c r="G666" s="18"/>
      <c r="H666" s="58"/>
      <c r="I666" s="21"/>
      <c r="J666" s="22"/>
    </row>
    <row r="667" spans="1:10" ht="13.2" x14ac:dyDescent="0.25">
      <c r="A667" s="17"/>
      <c r="B667" s="17"/>
      <c r="D667" s="18"/>
      <c r="E667" s="18"/>
      <c r="F667" s="18"/>
      <c r="G667" s="18"/>
      <c r="H667" s="58"/>
      <c r="I667" s="21"/>
      <c r="J667" s="22"/>
    </row>
    <row r="668" spans="1:10" ht="13.2" x14ac:dyDescent="0.25">
      <c r="A668" s="17"/>
      <c r="B668" s="17"/>
      <c r="D668" s="18"/>
      <c r="E668" s="18"/>
      <c r="F668" s="18"/>
      <c r="G668" s="18"/>
      <c r="H668" s="58"/>
      <c r="I668" s="21"/>
      <c r="J668" s="22"/>
    </row>
    <row r="669" spans="1:10" ht="13.2" x14ac:dyDescent="0.25">
      <c r="A669" s="17"/>
      <c r="B669" s="17"/>
      <c r="D669" s="18"/>
      <c r="E669" s="18"/>
      <c r="F669" s="18"/>
      <c r="G669" s="18"/>
      <c r="H669" s="58"/>
      <c r="I669" s="21"/>
      <c r="J669" s="22"/>
    </row>
    <row r="670" spans="1:10" ht="13.2" x14ac:dyDescent="0.25">
      <c r="A670" s="17"/>
      <c r="B670" s="17"/>
      <c r="D670" s="18"/>
      <c r="E670" s="18"/>
      <c r="F670" s="18"/>
      <c r="G670" s="18"/>
      <c r="H670" s="58"/>
      <c r="I670" s="21"/>
      <c r="J670" s="22"/>
    </row>
    <row r="671" spans="1:10" ht="13.2" x14ac:dyDescent="0.25">
      <c r="A671" s="17"/>
      <c r="B671" s="17"/>
      <c r="D671" s="18"/>
      <c r="E671" s="18"/>
      <c r="F671" s="18"/>
      <c r="G671" s="18"/>
      <c r="H671" s="58"/>
      <c r="I671" s="21"/>
      <c r="J671" s="22"/>
    </row>
    <row r="672" spans="1:10" ht="13.2" x14ac:dyDescent="0.25">
      <c r="A672" s="17"/>
      <c r="B672" s="17"/>
      <c r="D672" s="18"/>
      <c r="E672" s="18"/>
      <c r="F672" s="18"/>
      <c r="G672" s="18"/>
      <c r="H672" s="58"/>
      <c r="I672" s="21"/>
      <c r="J672" s="22"/>
    </row>
    <row r="673" spans="1:10" ht="13.2" x14ac:dyDescent="0.25">
      <c r="A673" s="17"/>
      <c r="B673" s="17"/>
      <c r="D673" s="18"/>
      <c r="E673" s="18"/>
      <c r="F673" s="18"/>
      <c r="G673" s="18"/>
      <c r="H673" s="58"/>
      <c r="I673" s="21"/>
      <c r="J673" s="22"/>
    </row>
    <row r="674" spans="1:10" ht="13.2" x14ac:dyDescent="0.25">
      <c r="A674" s="17"/>
      <c r="B674" s="17"/>
      <c r="D674" s="18"/>
      <c r="E674" s="18"/>
      <c r="F674" s="18"/>
      <c r="G674" s="18"/>
      <c r="H674" s="58"/>
      <c r="I674" s="21"/>
      <c r="J674" s="22"/>
    </row>
    <row r="675" spans="1:10" ht="13.2" x14ac:dyDescent="0.25">
      <c r="A675" s="17"/>
      <c r="B675" s="17"/>
      <c r="D675" s="18"/>
      <c r="E675" s="18"/>
      <c r="F675" s="18"/>
      <c r="G675" s="18"/>
      <c r="H675" s="58"/>
      <c r="I675" s="21"/>
      <c r="J675" s="22"/>
    </row>
    <row r="676" spans="1:10" ht="13.2" x14ac:dyDescent="0.25">
      <c r="A676" s="17"/>
      <c r="B676" s="17"/>
      <c r="D676" s="18"/>
      <c r="E676" s="18"/>
      <c r="F676" s="18"/>
      <c r="G676" s="18"/>
      <c r="H676" s="58"/>
      <c r="I676" s="21"/>
      <c r="J676" s="22"/>
    </row>
    <row r="677" spans="1:10" ht="13.2" x14ac:dyDescent="0.25">
      <c r="A677" s="17"/>
      <c r="B677" s="17"/>
      <c r="D677" s="18"/>
      <c r="E677" s="18"/>
      <c r="F677" s="18"/>
      <c r="G677" s="18"/>
      <c r="H677" s="58"/>
      <c r="I677" s="21"/>
      <c r="J677" s="22"/>
    </row>
    <row r="678" spans="1:10" ht="13.2" x14ac:dyDescent="0.25">
      <c r="A678" s="17"/>
      <c r="B678" s="17"/>
      <c r="D678" s="18"/>
      <c r="E678" s="18"/>
      <c r="F678" s="18"/>
      <c r="G678" s="18"/>
      <c r="H678" s="58"/>
      <c r="I678" s="21"/>
      <c r="J678" s="22"/>
    </row>
    <row r="679" spans="1:10" ht="13.2" x14ac:dyDescent="0.25">
      <c r="A679" s="17"/>
      <c r="B679" s="17"/>
      <c r="D679" s="18"/>
      <c r="E679" s="18"/>
      <c r="F679" s="18"/>
      <c r="G679" s="18"/>
      <c r="H679" s="58"/>
      <c r="I679" s="21"/>
      <c r="J679" s="22"/>
    </row>
    <row r="680" spans="1:10" ht="13.2" x14ac:dyDescent="0.25">
      <c r="A680" s="17"/>
      <c r="B680" s="17"/>
      <c r="D680" s="18"/>
      <c r="E680" s="18"/>
      <c r="F680" s="18"/>
      <c r="G680" s="18"/>
      <c r="H680" s="58"/>
      <c r="I680" s="21"/>
      <c r="J680" s="22"/>
    </row>
    <row r="681" spans="1:10" ht="13.2" x14ac:dyDescent="0.25">
      <c r="A681" s="17"/>
      <c r="B681" s="17"/>
      <c r="D681" s="18"/>
      <c r="E681" s="18"/>
      <c r="F681" s="18"/>
      <c r="G681" s="18"/>
      <c r="H681" s="58"/>
      <c r="I681" s="21"/>
      <c r="J681" s="22"/>
    </row>
    <row r="682" spans="1:10" ht="13.2" x14ac:dyDescent="0.25">
      <c r="A682" s="17"/>
      <c r="B682" s="17"/>
      <c r="D682" s="18"/>
      <c r="E682" s="18"/>
      <c r="F682" s="18"/>
      <c r="G682" s="18"/>
      <c r="H682" s="58"/>
      <c r="I682" s="21"/>
      <c r="J682" s="22"/>
    </row>
    <row r="683" spans="1:10" ht="13.2" x14ac:dyDescent="0.25">
      <c r="A683" s="17"/>
      <c r="B683" s="17"/>
      <c r="D683" s="18"/>
      <c r="E683" s="18"/>
      <c r="F683" s="18"/>
      <c r="G683" s="18"/>
      <c r="H683" s="58"/>
      <c r="I683" s="21"/>
      <c r="J683" s="22"/>
    </row>
    <row r="684" spans="1:10" ht="13.2" x14ac:dyDescent="0.25">
      <c r="A684" s="17"/>
      <c r="B684" s="17"/>
      <c r="D684" s="18"/>
      <c r="E684" s="18"/>
      <c r="F684" s="18"/>
      <c r="G684" s="18"/>
      <c r="H684" s="58"/>
      <c r="I684" s="21"/>
      <c r="J684" s="22"/>
    </row>
    <row r="685" spans="1:10" ht="13.2" x14ac:dyDescent="0.25">
      <c r="A685" s="17"/>
      <c r="B685" s="17"/>
      <c r="D685" s="18"/>
      <c r="E685" s="18"/>
      <c r="F685" s="18"/>
      <c r="G685" s="18"/>
      <c r="H685" s="58"/>
      <c r="I685" s="21"/>
      <c r="J685" s="22"/>
    </row>
    <row r="686" spans="1:10" ht="13.2" x14ac:dyDescent="0.25">
      <c r="A686" s="17"/>
      <c r="B686" s="17"/>
      <c r="D686" s="18"/>
      <c r="E686" s="18"/>
      <c r="F686" s="18"/>
      <c r="G686" s="18"/>
      <c r="H686" s="58"/>
      <c r="I686" s="21"/>
      <c r="J686" s="22"/>
    </row>
    <row r="687" spans="1:10" ht="13.2" x14ac:dyDescent="0.25">
      <c r="A687" s="17"/>
      <c r="B687" s="17"/>
      <c r="D687" s="18"/>
      <c r="E687" s="18"/>
      <c r="F687" s="18"/>
      <c r="G687" s="18"/>
      <c r="H687" s="58"/>
      <c r="I687" s="21"/>
      <c r="J687" s="22"/>
    </row>
    <row r="688" spans="1:10" ht="13.2" x14ac:dyDescent="0.25">
      <c r="A688" s="17"/>
      <c r="B688" s="17"/>
      <c r="D688" s="18"/>
      <c r="E688" s="18"/>
      <c r="F688" s="18"/>
      <c r="G688" s="18"/>
      <c r="H688" s="58"/>
      <c r="I688" s="21"/>
      <c r="J688" s="22"/>
    </row>
    <row r="689" spans="1:10" ht="13.2" x14ac:dyDescent="0.25">
      <c r="A689" s="17"/>
      <c r="B689" s="17"/>
      <c r="D689" s="18"/>
      <c r="E689" s="18"/>
      <c r="F689" s="18"/>
      <c r="G689" s="18"/>
      <c r="H689" s="58"/>
      <c r="I689" s="21"/>
      <c r="J689" s="22"/>
    </row>
    <row r="690" spans="1:10" ht="13.2" x14ac:dyDescent="0.25">
      <c r="A690" s="17"/>
      <c r="B690" s="17"/>
      <c r="D690" s="18"/>
      <c r="E690" s="18"/>
      <c r="F690" s="18"/>
      <c r="G690" s="18"/>
      <c r="H690" s="58"/>
      <c r="I690" s="21"/>
      <c r="J690" s="22"/>
    </row>
    <row r="691" spans="1:10" ht="13.2" x14ac:dyDescent="0.25">
      <c r="A691" s="17"/>
      <c r="B691" s="17"/>
      <c r="D691" s="18"/>
      <c r="E691" s="18"/>
      <c r="F691" s="18"/>
      <c r="G691" s="18"/>
      <c r="H691" s="58"/>
      <c r="I691" s="21"/>
      <c r="J691" s="22"/>
    </row>
    <row r="692" spans="1:10" ht="13.2" x14ac:dyDescent="0.25">
      <c r="A692" s="17"/>
      <c r="B692" s="17"/>
      <c r="D692" s="18"/>
      <c r="E692" s="18"/>
      <c r="F692" s="18"/>
      <c r="G692" s="18"/>
      <c r="H692" s="58"/>
      <c r="I692" s="21"/>
      <c r="J692" s="22"/>
    </row>
    <row r="693" spans="1:10" ht="13.2" x14ac:dyDescent="0.25">
      <c r="A693" s="17"/>
      <c r="B693" s="17"/>
      <c r="D693" s="18"/>
      <c r="E693" s="18"/>
      <c r="F693" s="18"/>
      <c r="G693" s="18"/>
      <c r="H693" s="58"/>
      <c r="I693" s="21"/>
      <c r="J693" s="22"/>
    </row>
    <row r="694" spans="1:10" ht="13.2" x14ac:dyDescent="0.25">
      <c r="A694" s="17"/>
      <c r="B694" s="17"/>
      <c r="D694" s="18"/>
      <c r="E694" s="18"/>
      <c r="F694" s="18"/>
      <c r="G694" s="18"/>
      <c r="H694" s="58"/>
      <c r="I694" s="21"/>
      <c r="J694" s="22"/>
    </row>
    <row r="695" spans="1:10" ht="13.2" x14ac:dyDescent="0.25">
      <c r="A695" s="17"/>
      <c r="B695" s="17"/>
      <c r="D695" s="18"/>
      <c r="E695" s="18"/>
      <c r="F695" s="18"/>
      <c r="G695" s="18"/>
      <c r="H695" s="58"/>
      <c r="I695" s="21"/>
      <c r="J695" s="22"/>
    </row>
    <row r="696" spans="1:10" ht="13.2" x14ac:dyDescent="0.25">
      <c r="A696" s="17"/>
      <c r="B696" s="17"/>
      <c r="D696" s="18"/>
      <c r="E696" s="18"/>
      <c r="F696" s="18"/>
      <c r="G696" s="18"/>
      <c r="H696" s="58"/>
      <c r="I696" s="21"/>
      <c r="J696" s="22"/>
    </row>
    <row r="697" spans="1:10" ht="13.2" x14ac:dyDescent="0.25">
      <c r="A697" s="17"/>
      <c r="B697" s="17"/>
      <c r="D697" s="18"/>
      <c r="E697" s="18"/>
      <c r="F697" s="18"/>
      <c r="G697" s="18"/>
      <c r="H697" s="58"/>
      <c r="I697" s="21"/>
      <c r="J697" s="22"/>
    </row>
    <row r="698" spans="1:10" ht="13.2" x14ac:dyDescent="0.25">
      <c r="A698" s="17"/>
      <c r="B698" s="17"/>
      <c r="D698" s="18"/>
      <c r="E698" s="18"/>
      <c r="F698" s="18"/>
      <c r="G698" s="18"/>
      <c r="H698" s="58"/>
      <c r="I698" s="21"/>
      <c r="J698" s="22"/>
    </row>
    <row r="699" spans="1:10" ht="13.2" x14ac:dyDescent="0.25">
      <c r="A699" s="17"/>
      <c r="B699" s="17"/>
      <c r="D699" s="18"/>
      <c r="E699" s="18"/>
      <c r="F699" s="18"/>
      <c r="G699" s="18"/>
      <c r="H699" s="58"/>
      <c r="I699" s="21"/>
      <c r="J699" s="22"/>
    </row>
    <row r="700" spans="1:10" ht="13.2" x14ac:dyDescent="0.25">
      <c r="A700" s="17"/>
      <c r="B700" s="17"/>
      <c r="D700" s="18"/>
      <c r="E700" s="18"/>
      <c r="F700" s="18"/>
      <c r="G700" s="18"/>
      <c r="H700" s="58"/>
      <c r="I700" s="21"/>
      <c r="J700" s="22"/>
    </row>
    <row r="701" spans="1:10" ht="13.2" x14ac:dyDescent="0.25">
      <c r="A701" s="17"/>
      <c r="B701" s="17"/>
      <c r="D701" s="18"/>
      <c r="E701" s="18"/>
      <c r="F701" s="18"/>
      <c r="G701" s="18"/>
      <c r="H701" s="58"/>
      <c r="I701" s="21"/>
      <c r="J701" s="22"/>
    </row>
    <row r="702" spans="1:10" ht="13.2" x14ac:dyDescent="0.25">
      <c r="A702" s="17"/>
      <c r="B702" s="17"/>
      <c r="D702" s="18"/>
      <c r="E702" s="18"/>
      <c r="F702" s="18"/>
      <c r="G702" s="18"/>
      <c r="H702" s="58"/>
      <c r="I702" s="21"/>
      <c r="J702" s="22"/>
    </row>
    <row r="703" spans="1:10" ht="13.2" x14ac:dyDescent="0.25">
      <c r="A703" s="17"/>
      <c r="B703" s="17"/>
      <c r="D703" s="18"/>
      <c r="E703" s="18"/>
      <c r="F703" s="18"/>
      <c r="G703" s="18"/>
      <c r="H703" s="58"/>
      <c r="I703" s="21"/>
      <c r="J703" s="22"/>
    </row>
    <row r="704" spans="1:10" ht="13.2" x14ac:dyDescent="0.25">
      <c r="A704" s="17"/>
      <c r="B704" s="17"/>
      <c r="D704" s="18"/>
      <c r="E704" s="18"/>
      <c r="F704" s="18"/>
      <c r="G704" s="18"/>
      <c r="H704" s="58"/>
      <c r="I704" s="21"/>
      <c r="J704" s="22"/>
    </row>
    <row r="705" spans="1:10" ht="13.2" x14ac:dyDescent="0.25">
      <c r="A705" s="17"/>
      <c r="B705" s="17"/>
      <c r="D705" s="18"/>
      <c r="E705" s="18"/>
      <c r="F705" s="18"/>
      <c r="G705" s="18"/>
      <c r="H705" s="58"/>
      <c r="I705" s="21"/>
      <c r="J705" s="22"/>
    </row>
    <row r="706" spans="1:10" ht="13.2" x14ac:dyDescent="0.25">
      <c r="A706" s="17"/>
      <c r="B706" s="17"/>
      <c r="D706" s="18"/>
      <c r="E706" s="18"/>
      <c r="F706" s="18"/>
      <c r="G706" s="18"/>
      <c r="H706" s="58"/>
      <c r="I706" s="21"/>
      <c r="J706" s="22"/>
    </row>
    <row r="707" spans="1:10" ht="13.2" x14ac:dyDescent="0.25">
      <c r="A707" s="17"/>
      <c r="B707" s="17"/>
      <c r="D707" s="18"/>
      <c r="E707" s="18"/>
      <c r="F707" s="18"/>
      <c r="G707" s="18"/>
      <c r="H707" s="58"/>
      <c r="I707" s="21"/>
      <c r="J707" s="22"/>
    </row>
    <row r="708" spans="1:10" ht="13.2" x14ac:dyDescent="0.25">
      <c r="A708" s="17"/>
      <c r="B708" s="17"/>
      <c r="D708" s="18"/>
      <c r="E708" s="18"/>
      <c r="F708" s="18"/>
      <c r="G708" s="18"/>
      <c r="H708" s="58"/>
      <c r="I708" s="21"/>
      <c r="J708" s="22"/>
    </row>
    <row r="709" spans="1:10" ht="13.2" x14ac:dyDescent="0.25">
      <c r="A709" s="17"/>
      <c r="B709" s="17"/>
      <c r="D709" s="18"/>
      <c r="E709" s="18"/>
      <c r="F709" s="18"/>
      <c r="G709" s="18"/>
      <c r="H709" s="58"/>
      <c r="I709" s="21"/>
      <c r="J709" s="22"/>
    </row>
    <row r="710" spans="1:10" ht="13.2" x14ac:dyDescent="0.25">
      <c r="A710" s="17"/>
      <c r="B710" s="17"/>
      <c r="D710" s="18"/>
      <c r="E710" s="18"/>
      <c r="F710" s="18"/>
      <c r="G710" s="18"/>
      <c r="H710" s="58"/>
      <c r="I710" s="21"/>
      <c r="J710" s="22"/>
    </row>
    <row r="711" spans="1:10" ht="13.2" x14ac:dyDescent="0.25">
      <c r="A711" s="17"/>
      <c r="B711" s="17"/>
      <c r="D711" s="18"/>
      <c r="E711" s="18"/>
      <c r="F711" s="18"/>
      <c r="G711" s="18"/>
      <c r="H711" s="58"/>
      <c r="I711" s="21"/>
      <c r="J711" s="22"/>
    </row>
    <row r="712" spans="1:10" ht="13.2" x14ac:dyDescent="0.25">
      <c r="A712" s="17"/>
      <c r="B712" s="17"/>
      <c r="D712" s="18"/>
      <c r="E712" s="18"/>
      <c r="F712" s="18"/>
      <c r="G712" s="18"/>
      <c r="H712" s="58"/>
      <c r="I712" s="21"/>
      <c r="J712" s="22"/>
    </row>
    <row r="713" spans="1:10" ht="13.2" x14ac:dyDescent="0.25">
      <c r="A713" s="17"/>
      <c r="B713" s="17"/>
      <c r="D713" s="18"/>
      <c r="E713" s="18"/>
      <c r="F713" s="18"/>
      <c r="G713" s="18"/>
      <c r="H713" s="58"/>
      <c r="I713" s="21"/>
      <c r="J713" s="22"/>
    </row>
    <row r="714" spans="1:10" ht="13.2" x14ac:dyDescent="0.25">
      <c r="A714" s="17"/>
      <c r="B714" s="17"/>
      <c r="D714" s="18"/>
      <c r="E714" s="18"/>
      <c r="F714" s="18"/>
      <c r="G714" s="18"/>
      <c r="H714" s="58"/>
      <c r="I714" s="21"/>
      <c r="J714" s="22"/>
    </row>
    <row r="715" spans="1:10" ht="13.2" x14ac:dyDescent="0.25">
      <c r="A715" s="17"/>
      <c r="B715" s="17"/>
      <c r="D715" s="18"/>
      <c r="E715" s="18"/>
      <c r="F715" s="18"/>
      <c r="G715" s="18"/>
      <c r="H715" s="58"/>
      <c r="I715" s="21"/>
      <c r="J715" s="22"/>
    </row>
    <row r="716" spans="1:10" ht="13.2" x14ac:dyDescent="0.25">
      <c r="A716" s="17"/>
      <c r="B716" s="17"/>
      <c r="D716" s="18"/>
      <c r="E716" s="18"/>
      <c r="F716" s="18"/>
      <c r="G716" s="18"/>
      <c r="H716" s="58"/>
      <c r="I716" s="21"/>
      <c r="J716" s="22"/>
    </row>
    <row r="717" spans="1:10" ht="13.2" x14ac:dyDescent="0.25">
      <c r="A717" s="17"/>
      <c r="B717" s="17"/>
      <c r="D717" s="18"/>
      <c r="E717" s="18"/>
      <c r="F717" s="18"/>
      <c r="G717" s="18"/>
      <c r="H717" s="58"/>
      <c r="I717" s="21"/>
      <c r="J717" s="22"/>
    </row>
    <row r="718" spans="1:10" ht="13.2" x14ac:dyDescent="0.25">
      <c r="A718" s="17"/>
      <c r="B718" s="17"/>
      <c r="D718" s="18"/>
      <c r="E718" s="18"/>
      <c r="F718" s="18"/>
      <c r="G718" s="18"/>
      <c r="H718" s="58"/>
      <c r="I718" s="21"/>
      <c r="J718" s="22"/>
    </row>
    <row r="719" spans="1:10" ht="13.2" x14ac:dyDescent="0.25">
      <c r="A719" s="17"/>
      <c r="B719" s="17"/>
      <c r="D719" s="18"/>
      <c r="E719" s="18"/>
      <c r="F719" s="18"/>
      <c r="G719" s="18"/>
      <c r="H719" s="58"/>
      <c r="I719" s="21"/>
      <c r="J719" s="22"/>
    </row>
    <row r="720" spans="1:10" ht="13.2" x14ac:dyDescent="0.25">
      <c r="A720" s="17"/>
      <c r="B720" s="17"/>
      <c r="D720" s="18"/>
      <c r="E720" s="18"/>
      <c r="F720" s="18"/>
      <c r="G720" s="18"/>
      <c r="H720" s="58"/>
      <c r="I720" s="21"/>
      <c r="J720" s="22"/>
    </row>
    <row r="721" spans="1:10" ht="13.2" x14ac:dyDescent="0.25">
      <c r="A721" s="17"/>
      <c r="B721" s="17"/>
      <c r="D721" s="18"/>
      <c r="E721" s="18"/>
      <c r="F721" s="18"/>
      <c r="G721" s="18"/>
      <c r="H721" s="58"/>
      <c r="I721" s="21"/>
      <c r="J721" s="22"/>
    </row>
    <row r="722" spans="1:10" ht="13.2" x14ac:dyDescent="0.25">
      <c r="A722" s="17"/>
      <c r="B722" s="17"/>
      <c r="D722" s="18"/>
      <c r="E722" s="18"/>
      <c r="F722" s="18"/>
      <c r="G722" s="18"/>
      <c r="H722" s="58"/>
      <c r="I722" s="21"/>
      <c r="J722" s="22"/>
    </row>
    <row r="723" spans="1:10" ht="13.2" x14ac:dyDescent="0.25">
      <c r="A723" s="17"/>
      <c r="B723" s="17"/>
      <c r="D723" s="18"/>
      <c r="E723" s="18"/>
      <c r="F723" s="18"/>
      <c r="G723" s="18"/>
      <c r="H723" s="58"/>
      <c r="I723" s="21"/>
      <c r="J723" s="22"/>
    </row>
    <row r="724" spans="1:10" ht="13.2" x14ac:dyDescent="0.25">
      <c r="A724" s="17"/>
      <c r="B724" s="17"/>
      <c r="D724" s="18"/>
      <c r="E724" s="18"/>
      <c r="F724" s="18"/>
      <c r="G724" s="18"/>
      <c r="H724" s="58"/>
      <c r="I724" s="21"/>
      <c r="J724" s="22"/>
    </row>
    <row r="725" spans="1:10" ht="13.2" x14ac:dyDescent="0.25">
      <c r="A725" s="17"/>
      <c r="B725" s="17"/>
      <c r="D725" s="18"/>
      <c r="E725" s="18"/>
      <c r="F725" s="18"/>
      <c r="G725" s="18"/>
      <c r="H725" s="58"/>
      <c r="I725" s="21"/>
      <c r="J725" s="22"/>
    </row>
    <row r="726" spans="1:10" ht="13.2" x14ac:dyDescent="0.25">
      <c r="A726" s="17"/>
      <c r="B726" s="17"/>
      <c r="D726" s="18"/>
      <c r="E726" s="18"/>
      <c r="F726" s="18"/>
      <c r="G726" s="18"/>
      <c r="H726" s="58"/>
      <c r="I726" s="21"/>
      <c r="J726" s="22"/>
    </row>
    <row r="727" spans="1:10" ht="13.2" x14ac:dyDescent="0.25">
      <c r="A727" s="17"/>
      <c r="B727" s="17"/>
      <c r="D727" s="18"/>
      <c r="E727" s="18"/>
      <c r="F727" s="18"/>
      <c r="G727" s="18"/>
      <c r="H727" s="58"/>
      <c r="I727" s="21"/>
      <c r="J727" s="22"/>
    </row>
    <row r="728" spans="1:10" ht="13.2" x14ac:dyDescent="0.25">
      <c r="A728" s="17"/>
      <c r="B728" s="17"/>
      <c r="D728" s="18"/>
      <c r="E728" s="18"/>
      <c r="F728" s="18"/>
      <c r="G728" s="18"/>
      <c r="H728" s="58"/>
      <c r="I728" s="21"/>
      <c r="J728" s="22"/>
    </row>
    <row r="729" spans="1:10" ht="13.2" x14ac:dyDescent="0.25">
      <c r="A729" s="17"/>
      <c r="B729" s="17"/>
      <c r="D729" s="18"/>
      <c r="E729" s="18"/>
      <c r="F729" s="18"/>
      <c r="G729" s="18"/>
      <c r="H729" s="58"/>
      <c r="I729" s="21"/>
      <c r="J729" s="22"/>
    </row>
    <row r="730" spans="1:10" ht="13.2" x14ac:dyDescent="0.25">
      <c r="A730" s="17"/>
      <c r="B730" s="17"/>
      <c r="D730" s="18"/>
      <c r="E730" s="18"/>
      <c r="F730" s="18"/>
      <c r="G730" s="18"/>
      <c r="H730" s="58"/>
      <c r="I730" s="21"/>
      <c r="J730" s="22"/>
    </row>
    <row r="731" spans="1:10" ht="13.2" x14ac:dyDescent="0.25">
      <c r="A731" s="17"/>
      <c r="B731" s="17"/>
      <c r="D731" s="18"/>
      <c r="E731" s="18"/>
      <c r="F731" s="18"/>
      <c r="G731" s="18"/>
      <c r="H731" s="58"/>
      <c r="I731" s="21"/>
      <c r="J731" s="22"/>
    </row>
    <row r="732" spans="1:10" ht="13.2" x14ac:dyDescent="0.25">
      <c r="A732" s="17"/>
      <c r="B732" s="17"/>
      <c r="D732" s="18"/>
      <c r="E732" s="18"/>
      <c r="F732" s="18"/>
      <c r="G732" s="18"/>
      <c r="H732" s="58"/>
      <c r="I732" s="21"/>
      <c r="J732" s="22"/>
    </row>
    <row r="733" spans="1:10" ht="13.2" x14ac:dyDescent="0.25">
      <c r="A733" s="17"/>
      <c r="B733" s="17"/>
      <c r="D733" s="18"/>
      <c r="E733" s="18"/>
      <c r="F733" s="18"/>
      <c r="G733" s="18"/>
      <c r="H733" s="58"/>
      <c r="I733" s="21"/>
      <c r="J733" s="22"/>
    </row>
    <row r="734" spans="1:10" ht="13.2" x14ac:dyDescent="0.25">
      <c r="A734" s="17"/>
      <c r="B734" s="17"/>
      <c r="D734" s="18"/>
      <c r="E734" s="18"/>
      <c r="F734" s="18"/>
      <c r="G734" s="18"/>
      <c r="H734" s="58"/>
      <c r="I734" s="21"/>
      <c r="J734" s="22"/>
    </row>
    <row r="735" spans="1:10" ht="13.2" x14ac:dyDescent="0.25">
      <c r="A735" s="17"/>
      <c r="B735" s="17"/>
      <c r="D735" s="18"/>
      <c r="E735" s="18"/>
      <c r="F735" s="18"/>
      <c r="G735" s="18"/>
      <c r="H735" s="58"/>
      <c r="I735" s="21"/>
      <c r="J735" s="22"/>
    </row>
    <row r="736" spans="1:10" ht="13.2" x14ac:dyDescent="0.25">
      <c r="A736" s="17"/>
      <c r="B736" s="17"/>
      <c r="D736" s="18"/>
      <c r="E736" s="18"/>
      <c r="F736" s="18"/>
      <c r="G736" s="18"/>
      <c r="H736" s="58"/>
      <c r="I736" s="21"/>
      <c r="J736" s="22"/>
    </row>
    <row r="737" spans="1:10" ht="13.2" x14ac:dyDescent="0.25">
      <c r="A737" s="17"/>
      <c r="B737" s="17"/>
      <c r="D737" s="18"/>
      <c r="E737" s="18"/>
      <c r="F737" s="18"/>
      <c r="G737" s="18"/>
      <c r="H737" s="58"/>
      <c r="I737" s="21"/>
      <c r="J737" s="22"/>
    </row>
    <row r="738" spans="1:10" ht="13.2" x14ac:dyDescent="0.25">
      <c r="A738" s="17"/>
      <c r="B738" s="17"/>
      <c r="D738" s="18"/>
      <c r="E738" s="18"/>
      <c r="F738" s="18"/>
      <c r="G738" s="18"/>
      <c r="H738" s="58"/>
      <c r="I738" s="21"/>
      <c r="J738" s="22"/>
    </row>
    <row r="739" spans="1:10" ht="13.2" x14ac:dyDescent="0.25">
      <c r="A739" s="17"/>
      <c r="B739" s="17"/>
      <c r="D739" s="18"/>
      <c r="E739" s="18"/>
      <c r="F739" s="18"/>
      <c r="G739" s="18"/>
      <c r="H739" s="58"/>
      <c r="I739" s="21"/>
      <c r="J739" s="22"/>
    </row>
    <row r="740" spans="1:10" ht="13.2" x14ac:dyDescent="0.25">
      <c r="A740" s="17"/>
      <c r="B740" s="17"/>
      <c r="D740" s="18"/>
      <c r="E740" s="18"/>
      <c r="F740" s="18"/>
      <c r="G740" s="18"/>
      <c r="H740" s="58"/>
      <c r="I740" s="21"/>
      <c r="J740" s="22"/>
    </row>
    <row r="741" spans="1:10" ht="13.2" x14ac:dyDescent="0.25">
      <c r="A741" s="17"/>
      <c r="B741" s="17"/>
      <c r="D741" s="18"/>
      <c r="E741" s="18"/>
      <c r="F741" s="18"/>
      <c r="G741" s="18"/>
      <c r="H741" s="58"/>
      <c r="I741" s="21"/>
      <c r="J741" s="22"/>
    </row>
    <row r="742" spans="1:10" ht="13.2" x14ac:dyDescent="0.25">
      <c r="A742" s="17"/>
      <c r="B742" s="17"/>
      <c r="D742" s="18"/>
      <c r="E742" s="18"/>
      <c r="F742" s="18"/>
      <c r="G742" s="18"/>
      <c r="H742" s="58"/>
      <c r="I742" s="21"/>
      <c r="J742" s="22"/>
    </row>
    <row r="743" spans="1:10" ht="13.2" x14ac:dyDescent="0.25">
      <c r="A743" s="17"/>
      <c r="B743" s="17"/>
      <c r="D743" s="18"/>
      <c r="E743" s="18"/>
      <c r="F743" s="18"/>
      <c r="G743" s="18"/>
      <c r="H743" s="58"/>
      <c r="I743" s="21"/>
      <c r="J743" s="22"/>
    </row>
    <row r="744" spans="1:10" ht="13.2" x14ac:dyDescent="0.25">
      <c r="A744" s="17"/>
      <c r="B744" s="17"/>
      <c r="D744" s="18"/>
      <c r="E744" s="18"/>
      <c r="F744" s="18"/>
      <c r="G744" s="18"/>
      <c r="H744" s="58"/>
      <c r="I744" s="21"/>
      <c r="J744" s="22"/>
    </row>
    <row r="745" spans="1:10" ht="13.2" x14ac:dyDescent="0.25">
      <c r="A745" s="17"/>
      <c r="B745" s="17"/>
      <c r="D745" s="18"/>
      <c r="E745" s="18"/>
      <c r="F745" s="18"/>
      <c r="G745" s="18"/>
      <c r="H745" s="58"/>
      <c r="I745" s="21"/>
      <c r="J745" s="22"/>
    </row>
    <row r="746" spans="1:10" ht="13.2" x14ac:dyDescent="0.25">
      <c r="A746" s="17"/>
      <c r="B746" s="17"/>
      <c r="D746" s="18"/>
      <c r="E746" s="18"/>
      <c r="F746" s="18"/>
      <c r="G746" s="18"/>
      <c r="H746" s="58"/>
      <c r="I746" s="21"/>
      <c r="J746" s="22"/>
    </row>
    <row r="747" spans="1:10" ht="13.2" x14ac:dyDescent="0.25">
      <c r="A747" s="17"/>
      <c r="B747" s="17"/>
      <c r="D747" s="18"/>
      <c r="E747" s="18"/>
      <c r="F747" s="18"/>
      <c r="G747" s="18"/>
      <c r="H747" s="58"/>
      <c r="I747" s="21"/>
      <c r="J747" s="22"/>
    </row>
    <row r="748" spans="1:10" ht="13.2" x14ac:dyDescent="0.25">
      <c r="A748" s="17"/>
      <c r="B748" s="17"/>
      <c r="D748" s="18"/>
      <c r="E748" s="18"/>
      <c r="F748" s="18"/>
      <c r="G748" s="18"/>
      <c r="H748" s="58"/>
      <c r="I748" s="21"/>
      <c r="J748" s="22"/>
    </row>
    <row r="749" spans="1:10" ht="13.2" x14ac:dyDescent="0.25">
      <c r="A749" s="17"/>
      <c r="B749" s="17"/>
      <c r="D749" s="18"/>
      <c r="E749" s="18"/>
      <c r="F749" s="18"/>
      <c r="G749" s="18"/>
      <c r="H749" s="58"/>
      <c r="I749" s="21"/>
      <c r="J749" s="22"/>
    </row>
    <row r="750" spans="1:10" ht="13.2" x14ac:dyDescent="0.25">
      <c r="A750" s="17"/>
      <c r="B750" s="17"/>
      <c r="D750" s="18"/>
      <c r="E750" s="18"/>
      <c r="F750" s="18"/>
      <c r="G750" s="18"/>
      <c r="H750" s="58"/>
      <c r="I750" s="21"/>
      <c r="J750" s="22"/>
    </row>
    <row r="751" spans="1:10" ht="13.2" x14ac:dyDescent="0.25">
      <c r="A751" s="17"/>
      <c r="B751" s="17"/>
      <c r="D751" s="18"/>
      <c r="E751" s="18"/>
      <c r="F751" s="18"/>
      <c r="G751" s="18"/>
      <c r="H751" s="58"/>
      <c r="I751" s="21"/>
      <c r="J751" s="22"/>
    </row>
    <row r="752" spans="1:10" ht="13.2" x14ac:dyDescent="0.25">
      <c r="A752" s="17"/>
      <c r="B752" s="17"/>
      <c r="D752" s="18"/>
      <c r="E752" s="18"/>
      <c r="F752" s="18"/>
      <c r="G752" s="18"/>
      <c r="H752" s="58"/>
      <c r="I752" s="21"/>
      <c r="J752" s="22"/>
    </row>
    <row r="753" spans="1:10" ht="13.2" x14ac:dyDescent="0.25">
      <c r="A753" s="17"/>
      <c r="B753" s="17"/>
      <c r="D753" s="18"/>
      <c r="E753" s="18"/>
      <c r="F753" s="18"/>
      <c r="G753" s="18"/>
      <c r="H753" s="58"/>
      <c r="I753" s="21"/>
      <c r="J753" s="22"/>
    </row>
    <row r="754" spans="1:10" ht="13.2" x14ac:dyDescent="0.25">
      <c r="A754" s="17"/>
      <c r="B754" s="17"/>
      <c r="D754" s="18"/>
      <c r="E754" s="18"/>
      <c r="F754" s="18"/>
      <c r="G754" s="18"/>
      <c r="H754" s="58"/>
      <c r="I754" s="21"/>
      <c r="J754" s="22"/>
    </row>
    <row r="755" spans="1:10" ht="13.2" x14ac:dyDescent="0.25">
      <c r="A755" s="17"/>
      <c r="B755" s="17"/>
      <c r="D755" s="18"/>
      <c r="E755" s="18"/>
      <c r="F755" s="18"/>
      <c r="G755" s="18"/>
      <c r="H755" s="58"/>
      <c r="I755" s="21"/>
      <c r="J755" s="22"/>
    </row>
    <row r="756" spans="1:10" ht="13.2" x14ac:dyDescent="0.25">
      <c r="A756" s="17"/>
      <c r="B756" s="17"/>
      <c r="D756" s="18"/>
      <c r="E756" s="18"/>
      <c r="F756" s="18"/>
      <c r="G756" s="18"/>
      <c r="H756" s="58"/>
      <c r="I756" s="21"/>
      <c r="J756" s="22"/>
    </row>
    <row r="757" spans="1:10" ht="13.2" x14ac:dyDescent="0.25">
      <c r="A757" s="17"/>
      <c r="B757" s="17"/>
      <c r="D757" s="18"/>
      <c r="E757" s="18"/>
      <c r="F757" s="18"/>
      <c r="G757" s="18"/>
      <c r="H757" s="58"/>
      <c r="I757" s="21"/>
      <c r="J757" s="22"/>
    </row>
    <row r="758" spans="1:10" ht="13.2" x14ac:dyDescent="0.25">
      <c r="A758" s="17"/>
      <c r="B758" s="17"/>
      <c r="D758" s="18"/>
      <c r="E758" s="18"/>
      <c r="F758" s="18"/>
      <c r="G758" s="18"/>
      <c r="H758" s="58"/>
      <c r="I758" s="21"/>
      <c r="J758" s="22"/>
    </row>
    <row r="759" spans="1:10" ht="13.2" x14ac:dyDescent="0.25">
      <c r="A759" s="17"/>
      <c r="B759" s="17"/>
      <c r="D759" s="18"/>
      <c r="E759" s="18"/>
      <c r="F759" s="18"/>
      <c r="G759" s="18"/>
      <c r="H759" s="58"/>
      <c r="I759" s="21"/>
      <c r="J759" s="22"/>
    </row>
    <row r="760" spans="1:10" ht="13.2" x14ac:dyDescent="0.25">
      <c r="A760" s="17"/>
      <c r="B760" s="17"/>
      <c r="D760" s="18"/>
      <c r="E760" s="18"/>
      <c r="F760" s="18"/>
      <c r="G760" s="18"/>
      <c r="H760" s="58"/>
      <c r="I760" s="21"/>
      <c r="J760" s="22"/>
    </row>
    <row r="761" spans="1:10" ht="13.2" x14ac:dyDescent="0.25">
      <c r="A761" s="17"/>
      <c r="B761" s="17"/>
      <c r="D761" s="18"/>
      <c r="E761" s="18"/>
      <c r="F761" s="18"/>
      <c r="G761" s="18"/>
      <c r="H761" s="58"/>
      <c r="I761" s="21"/>
      <c r="J761" s="22"/>
    </row>
    <row r="762" spans="1:10" ht="13.2" x14ac:dyDescent="0.25">
      <c r="A762" s="17"/>
      <c r="B762" s="17"/>
      <c r="D762" s="18"/>
      <c r="E762" s="18"/>
      <c r="F762" s="18"/>
      <c r="G762" s="18"/>
      <c r="H762" s="58"/>
      <c r="I762" s="21"/>
      <c r="J762" s="22"/>
    </row>
    <row r="763" spans="1:10" ht="13.2" x14ac:dyDescent="0.25">
      <c r="A763" s="17"/>
      <c r="B763" s="17"/>
      <c r="D763" s="18"/>
      <c r="E763" s="18"/>
      <c r="F763" s="18"/>
      <c r="G763" s="18"/>
      <c r="H763" s="58"/>
      <c r="I763" s="21"/>
      <c r="J763" s="22"/>
    </row>
    <row r="764" spans="1:10" ht="13.2" x14ac:dyDescent="0.25">
      <c r="A764" s="17"/>
      <c r="B764" s="17"/>
      <c r="D764" s="18"/>
      <c r="E764" s="18"/>
      <c r="F764" s="18"/>
      <c r="G764" s="18"/>
      <c r="H764" s="58"/>
      <c r="I764" s="21"/>
      <c r="J764" s="22"/>
    </row>
    <row r="765" spans="1:10" ht="13.2" x14ac:dyDescent="0.25">
      <c r="A765" s="17"/>
      <c r="B765" s="17"/>
      <c r="D765" s="18"/>
      <c r="E765" s="18"/>
      <c r="F765" s="18"/>
      <c r="G765" s="18"/>
      <c r="H765" s="58"/>
      <c r="I765" s="21"/>
      <c r="J765" s="22"/>
    </row>
    <row r="766" spans="1:10" ht="13.2" x14ac:dyDescent="0.25">
      <c r="A766" s="17"/>
      <c r="B766" s="17"/>
      <c r="D766" s="18"/>
      <c r="E766" s="18"/>
      <c r="F766" s="18"/>
      <c r="G766" s="18"/>
      <c r="H766" s="58"/>
      <c r="I766" s="21"/>
      <c r="J766" s="22"/>
    </row>
    <row r="767" spans="1:10" ht="13.2" x14ac:dyDescent="0.25">
      <c r="A767" s="17"/>
      <c r="B767" s="17"/>
      <c r="D767" s="18"/>
      <c r="E767" s="18"/>
      <c r="F767" s="18"/>
      <c r="G767" s="18"/>
      <c r="H767" s="58"/>
      <c r="I767" s="21"/>
      <c r="J767" s="22"/>
    </row>
    <row r="768" spans="1:10" ht="13.2" x14ac:dyDescent="0.25">
      <c r="A768" s="17"/>
      <c r="B768" s="17"/>
      <c r="D768" s="18"/>
      <c r="E768" s="18"/>
      <c r="F768" s="18"/>
      <c r="G768" s="18"/>
      <c r="H768" s="58"/>
      <c r="I768" s="21"/>
      <c r="J768" s="22"/>
    </row>
    <row r="769" spans="1:10" ht="13.2" x14ac:dyDescent="0.25">
      <c r="A769" s="17"/>
      <c r="B769" s="17"/>
      <c r="D769" s="18"/>
      <c r="E769" s="18"/>
      <c r="F769" s="18"/>
      <c r="G769" s="18"/>
      <c r="H769" s="58"/>
      <c r="I769" s="21"/>
      <c r="J769" s="22"/>
    </row>
    <row r="770" spans="1:10" ht="13.2" x14ac:dyDescent="0.25">
      <c r="A770" s="17"/>
      <c r="B770" s="17"/>
      <c r="D770" s="18"/>
      <c r="E770" s="18"/>
      <c r="F770" s="18"/>
      <c r="G770" s="18"/>
      <c r="H770" s="58"/>
      <c r="I770" s="21"/>
      <c r="J770" s="22"/>
    </row>
    <row r="771" spans="1:10" ht="13.2" x14ac:dyDescent="0.25">
      <c r="A771" s="17"/>
      <c r="B771" s="17"/>
      <c r="D771" s="18"/>
      <c r="E771" s="18"/>
      <c r="F771" s="18"/>
      <c r="G771" s="18"/>
      <c r="H771" s="58"/>
      <c r="I771" s="21"/>
      <c r="J771" s="22"/>
    </row>
    <row r="772" spans="1:10" ht="13.2" x14ac:dyDescent="0.25">
      <c r="A772" s="17"/>
      <c r="B772" s="17"/>
      <c r="D772" s="18"/>
      <c r="E772" s="18"/>
      <c r="F772" s="18"/>
      <c r="G772" s="18"/>
      <c r="H772" s="58"/>
      <c r="I772" s="21"/>
      <c r="J772" s="22"/>
    </row>
    <row r="773" spans="1:10" ht="13.2" x14ac:dyDescent="0.25">
      <c r="A773" s="17"/>
      <c r="B773" s="17"/>
      <c r="D773" s="18"/>
      <c r="E773" s="18"/>
      <c r="F773" s="18"/>
      <c r="G773" s="18"/>
      <c r="H773" s="58"/>
      <c r="I773" s="21"/>
      <c r="J773" s="22"/>
    </row>
    <row r="774" spans="1:10" ht="13.2" x14ac:dyDescent="0.25">
      <c r="A774" s="17"/>
      <c r="B774" s="17"/>
      <c r="D774" s="18"/>
      <c r="E774" s="18"/>
      <c r="F774" s="18"/>
      <c r="G774" s="18"/>
      <c r="H774" s="58"/>
      <c r="I774" s="21"/>
      <c r="J774" s="22"/>
    </row>
    <row r="775" spans="1:10" ht="13.2" x14ac:dyDescent="0.25">
      <c r="A775" s="17"/>
      <c r="B775" s="17"/>
      <c r="D775" s="18"/>
      <c r="E775" s="18"/>
      <c r="F775" s="18"/>
      <c r="G775" s="18"/>
      <c r="H775" s="58"/>
      <c r="I775" s="21"/>
      <c r="J775" s="22"/>
    </row>
    <row r="776" spans="1:10" ht="13.2" x14ac:dyDescent="0.25">
      <c r="A776" s="17"/>
      <c r="B776" s="17"/>
      <c r="D776" s="18"/>
      <c r="E776" s="18"/>
      <c r="F776" s="18"/>
      <c r="G776" s="18"/>
      <c r="H776" s="58"/>
      <c r="I776" s="21"/>
      <c r="J776" s="22"/>
    </row>
    <row r="777" spans="1:10" ht="13.2" x14ac:dyDescent="0.25">
      <c r="A777" s="17"/>
      <c r="B777" s="17"/>
      <c r="D777" s="18"/>
      <c r="E777" s="18"/>
      <c r="F777" s="18"/>
      <c r="G777" s="18"/>
      <c r="H777" s="58"/>
      <c r="I777" s="21"/>
      <c r="J777" s="22"/>
    </row>
    <row r="778" spans="1:10" ht="13.2" x14ac:dyDescent="0.25">
      <c r="A778" s="17"/>
      <c r="B778" s="17"/>
      <c r="D778" s="18"/>
      <c r="E778" s="18"/>
      <c r="F778" s="18"/>
      <c r="G778" s="18"/>
      <c r="H778" s="58"/>
      <c r="I778" s="21"/>
      <c r="J778" s="22"/>
    </row>
    <row r="779" spans="1:10" ht="13.2" x14ac:dyDescent="0.25">
      <c r="A779" s="17"/>
      <c r="B779" s="17"/>
      <c r="D779" s="18"/>
      <c r="E779" s="18"/>
      <c r="F779" s="18"/>
      <c r="G779" s="18"/>
      <c r="H779" s="58"/>
      <c r="I779" s="21"/>
      <c r="J779" s="22"/>
    </row>
    <row r="780" spans="1:10" ht="13.2" x14ac:dyDescent="0.25">
      <c r="A780" s="17"/>
      <c r="B780" s="17"/>
      <c r="D780" s="18"/>
      <c r="E780" s="18"/>
      <c r="F780" s="18"/>
      <c r="G780" s="18"/>
      <c r="H780" s="58"/>
      <c r="I780" s="21"/>
      <c r="J780" s="22"/>
    </row>
    <row r="781" spans="1:10" ht="13.2" x14ac:dyDescent="0.25">
      <c r="A781" s="17"/>
      <c r="B781" s="17"/>
      <c r="D781" s="18"/>
      <c r="E781" s="18"/>
      <c r="F781" s="18"/>
      <c r="G781" s="18"/>
      <c r="H781" s="58"/>
      <c r="I781" s="21"/>
      <c r="J781" s="22"/>
    </row>
    <row r="782" spans="1:10" ht="13.2" x14ac:dyDescent="0.25">
      <c r="A782" s="17"/>
      <c r="B782" s="17"/>
      <c r="D782" s="18"/>
      <c r="E782" s="18"/>
      <c r="F782" s="18"/>
      <c r="G782" s="18"/>
      <c r="H782" s="58"/>
      <c r="I782" s="21"/>
      <c r="J782" s="22"/>
    </row>
    <row r="783" spans="1:10" ht="13.2" x14ac:dyDescent="0.25">
      <c r="A783" s="17"/>
      <c r="B783" s="17"/>
      <c r="D783" s="18"/>
      <c r="E783" s="18"/>
      <c r="F783" s="18"/>
      <c r="G783" s="18"/>
      <c r="H783" s="58"/>
      <c r="I783" s="21"/>
      <c r="J783" s="22"/>
    </row>
    <row r="784" spans="1:10" ht="13.2" x14ac:dyDescent="0.25">
      <c r="A784" s="17"/>
      <c r="B784" s="17"/>
      <c r="D784" s="18"/>
      <c r="E784" s="18"/>
      <c r="F784" s="18"/>
      <c r="G784" s="18"/>
      <c r="H784" s="58"/>
      <c r="I784" s="21"/>
      <c r="J784" s="22"/>
    </row>
    <row r="785" spans="1:10" ht="13.2" x14ac:dyDescent="0.25">
      <c r="A785" s="17"/>
      <c r="B785" s="17"/>
      <c r="D785" s="18"/>
      <c r="E785" s="18"/>
      <c r="F785" s="18"/>
      <c r="G785" s="18"/>
      <c r="H785" s="58"/>
      <c r="I785" s="21"/>
      <c r="J785" s="22"/>
    </row>
    <row r="786" spans="1:10" ht="13.2" x14ac:dyDescent="0.25">
      <c r="A786" s="17"/>
      <c r="B786" s="17"/>
      <c r="D786" s="18"/>
      <c r="E786" s="18"/>
      <c r="F786" s="18"/>
      <c r="G786" s="18"/>
      <c r="H786" s="58"/>
      <c r="I786" s="21"/>
      <c r="J786" s="22"/>
    </row>
    <row r="787" spans="1:10" ht="13.2" x14ac:dyDescent="0.25">
      <c r="A787" s="17"/>
      <c r="B787" s="17"/>
      <c r="D787" s="18"/>
      <c r="E787" s="18"/>
      <c r="F787" s="18"/>
      <c r="G787" s="18"/>
      <c r="H787" s="58"/>
      <c r="I787" s="21"/>
      <c r="J787" s="22"/>
    </row>
    <row r="788" spans="1:10" ht="13.2" x14ac:dyDescent="0.25">
      <c r="A788" s="17"/>
      <c r="B788" s="17"/>
      <c r="D788" s="18"/>
      <c r="E788" s="18"/>
      <c r="F788" s="18"/>
      <c r="G788" s="18"/>
      <c r="H788" s="58"/>
      <c r="I788" s="21"/>
      <c r="J788" s="22"/>
    </row>
    <row r="789" spans="1:10" ht="13.2" x14ac:dyDescent="0.25">
      <c r="A789" s="17"/>
      <c r="B789" s="17"/>
      <c r="D789" s="18"/>
      <c r="E789" s="18"/>
      <c r="F789" s="18"/>
      <c r="G789" s="18"/>
      <c r="H789" s="58"/>
      <c r="I789" s="21"/>
      <c r="J789" s="22"/>
    </row>
    <row r="790" spans="1:10" ht="13.2" x14ac:dyDescent="0.25">
      <c r="A790" s="17"/>
      <c r="B790" s="17"/>
      <c r="D790" s="18"/>
      <c r="E790" s="18"/>
      <c r="F790" s="18"/>
      <c r="G790" s="18"/>
      <c r="H790" s="58"/>
      <c r="I790" s="21"/>
      <c r="J790" s="22"/>
    </row>
    <row r="791" spans="1:10" ht="13.2" x14ac:dyDescent="0.25">
      <c r="A791" s="17"/>
      <c r="B791" s="17"/>
      <c r="D791" s="18"/>
      <c r="E791" s="18"/>
      <c r="F791" s="18"/>
      <c r="G791" s="18"/>
      <c r="H791" s="58"/>
      <c r="I791" s="21"/>
      <c r="J791" s="22"/>
    </row>
    <row r="792" spans="1:10" ht="13.2" x14ac:dyDescent="0.25">
      <c r="A792" s="17"/>
      <c r="B792" s="17"/>
      <c r="D792" s="18"/>
      <c r="E792" s="18"/>
      <c r="F792" s="18"/>
      <c r="G792" s="18"/>
      <c r="H792" s="58"/>
      <c r="I792" s="21"/>
      <c r="J792" s="22"/>
    </row>
    <row r="793" spans="1:10" ht="13.2" x14ac:dyDescent="0.25">
      <c r="A793" s="17"/>
      <c r="B793" s="17"/>
      <c r="D793" s="18"/>
      <c r="E793" s="18"/>
      <c r="F793" s="18"/>
      <c r="G793" s="18"/>
      <c r="H793" s="58"/>
      <c r="I793" s="21"/>
      <c r="J793" s="22"/>
    </row>
    <row r="794" spans="1:10" ht="13.2" x14ac:dyDescent="0.25">
      <c r="A794" s="17"/>
      <c r="B794" s="17"/>
      <c r="D794" s="18"/>
      <c r="E794" s="18"/>
      <c r="F794" s="18"/>
      <c r="G794" s="18"/>
      <c r="H794" s="58"/>
      <c r="I794" s="21"/>
      <c r="J794" s="22"/>
    </row>
    <row r="795" spans="1:10" ht="13.2" x14ac:dyDescent="0.25">
      <c r="A795" s="17"/>
      <c r="B795" s="17"/>
      <c r="D795" s="18"/>
      <c r="E795" s="18"/>
      <c r="F795" s="18"/>
      <c r="G795" s="18"/>
      <c r="H795" s="58"/>
      <c r="I795" s="21"/>
      <c r="J795" s="22"/>
    </row>
    <row r="796" spans="1:10" ht="13.2" x14ac:dyDescent="0.25">
      <c r="A796" s="17"/>
      <c r="B796" s="17"/>
      <c r="D796" s="18"/>
      <c r="E796" s="18"/>
      <c r="F796" s="18"/>
      <c r="G796" s="18"/>
      <c r="H796" s="58"/>
      <c r="I796" s="21"/>
      <c r="J796" s="22"/>
    </row>
    <row r="797" spans="1:10" ht="13.2" x14ac:dyDescent="0.25">
      <c r="A797" s="17"/>
      <c r="B797" s="17"/>
      <c r="D797" s="18"/>
      <c r="E797" s="18"/>
      <c r="F797" s="18"/>
      <c r="G797" s="18"/>
      <c r="H797" s="58"/>
      <c r="I797" s="21"/>
      <c r="J797" s="22"/>
    </row>
    <row r="798" spans="1:10" ht="13.2" x14ac:dyDescent="0.25">
      <c r="A798" s="17"/>
      <c r="B798" s="17"/>
      <c r="D798" s="18"/>
      <c r="E798" s="18"/>
      <c r="F798" s="18"/>
      <c r="G798" s="18"/>
      <c r="H798" s="58"/>
      <c r="I798" s="21"/>
      <c r="J798" s="22"/>
    </row>
    <row r="799" spans="1:10" ht="13.2" x14ac:dyDescent="0.25">
      <c r="A799" s="17"/>
      <c r="B799" s="17"/>
      <c r="D799" s="18"/>
      <c r="E799" s="18"/>
      <c r="F799" s="18"/>
      <c r="G799" s="18"/>
      <c r="H799" s="58"/>
      <c r="I799" s="21"/>
      <c r="J799" s="22"/>
    </row>
    <row r="800" spans="1:10" ht="13.2" x14ac:dyDescent="0.25">
      <c r="A800" s="17"/>
      <c r="B800" s="17"/>
      <c r="D800" s="18"/>
      <c r="E800" s="18"/>
      <c r="F800" s="18"/>
      <c r="G800" s="18"/>
      <c r="H800" s="58"/>
      <c r="I800" s="21"/>
      <c r="J800" s="22"/>
    </row>
    <row r="801" spans="1:10" ht="13.2" x14ac:dyDescent="0.25">
      <c r="A801" s="17"/>
      <c r="B801" s="17"/>
      <c r="D801" s="18"/>
      <c r="E801" s="18"/>
      <c r="F801" s="18"/>
      <c r="G801" s="18"/>
      <c r="H801" s="58"/>
      <c r="I801" s="21"/>
      <c r="J801" s="22"/>
    </row>
    <row r="802" spans="1:10" ht="13.2" x14ac:dyDescent="0.25">
      <c r="A802" s="17"/>
      <c r="B802" s="17"/>
      <c r="D802" s="18"/>
      <c r="E802" s="18"/>
      <c r="F802" s="18"/>
      <c r="G802" s="18"/>
      <c r="H802" s="58"/>
      <c r="I802" s="21"/>
      <c r="J802" s="22"/>
    </row>
    <row r="803" spans="1:10" ht="13.2" x14ac:dyDescent="0.25">
      <c r="A803" s="17"/>
      <c r="B803" s="17"/>
      <c r="D803" s="18"/>
      <c r="E803" s="18"/>
      <c r="F803" s="18"/>
      <c r="G803" s="18"/>
      <c r="H803" s="58"/>
      <c r="I803" s="21"/>
      <c r="J803" s="22"/>
    </row>
    <row r="804" spans="1:10" ht="13.2" x14ac:dyDescent="0.25">
      <c r="A804" s="17"/>
      <c r="B804" s="17"/>
      <c r="D804" s="18"/>
      <c r="E804" s="18"/>
      <c r="F804" s="18"/>
      <c r="G804" s="18"/>
      <c r="H804" s="58"/>
      <c r="I804" s="21"/>
      <c r="J804" s="22"/>
    </row>
    <row r="805" spans="1:10" ht="13.2" x14ac:dyDescent="0.25">
      <c r="A805" s="17"/>
      <c r="B805" s="17"/>
      <c r="D805" s="18"/>
      <c r="E805" s="18"/>
      <c r="F805" s="18"/>
      <c r="G805" s="18"/>
      <c r="H805" s="58"/>
      <c r="I805" s="21"/>
      <c r="J805" s="22"/>
    </row>
    <row r="806" spans="1:10" ht="13.2" x14ac:dyDescent="0.25">
      <c r="A806" s="17"/>
      <c r="B806" s="17"/>
      <c r="D806" s="18"/>
      <c r="E806" s="18"/>
      <c r="F806" s="18"/>
      <c r="G806" s="18"/>
      <c r="H806" s="58"/>
      <c r="I806" s="21"/>
      <c r="J806" s="22"/>
    </row>
    <row r="807" spans="1:10" ht="13.2" x14ac:dyDescent="0.25">
      <c r="A807" s="17"/>
      <c r="B807" s="17"/>
      <c r="D807" s="18"/>
      <c r="E807" s="18"/>
      <c r="F807" s="18"/>
      <c r="G807" s="18"/>
      <c r="H807" s="58"/>
      <c r="I807" s="21"/>
      <c r="J807" s="22"/>
    </row>
    <row r="808" spans="1:10" ht="13.2" x14ac:dyDescent="0.25">
      <c r="A808" s="17"/>
      <c r="B808" s="17"/>
      <c r="D808" s="18"/>
      <c r="E808" s="18"/>
      <c r="F808" s="18"/>
      <c r="G808" s="18"/>
      <c r="H808" s="58"/>
      <c r="I808" s="21"/>
      <c r="J808" s="22"/>
    </row>
    <row r="809" spans="1:10" ht="13.2" x14ac:dyDescent="0.25">
      <c r="A809" s="17"/>
      <c r="B809" s="17"/>
      <c r="D809" s="18"/>
      <c r="E809" s="18"/>
      <c r="F809" s="18"/>
      <c r="G809" s="18"/>
      <c r="H809" s="58"/>
      <c r="I809" s="21"/>
      <c r="J809" s="22"/>
    </row>
    <row r="810" spans="1:10" ht="13.2" x14ac:dyDescent="0.25">
      <c r="A810" s="17"/>
      <c r="B810" s="17"/>
      <c r="D810" s="18"/>
      <c r="E810" s="18"/>
      <c r="F810" s="18"/>
      <c r="G810" s="18"/>
      <c r="H810" s="58"/>
      <c r="I810" s="21"/>
      <c r="J810" s="22"/>
    </row>
    <row r="811" spans="1:10" ht="13.2" x14ac:dyDescent="0.25">
      <c r="A811" s="17"/>
      <c r="B811" s="17"/>
      <c r="D811" s="18"/>
      <c r="E811" s="18"/>
      <c r="F811" s="18"/>
      <c r="G811" s="18"/>
      <c r="H811" s="58"/>
      <c r="I811" s="21"/>
      <c r="J811" s="22"/>
    </row>
    <row r="812" spans="1:10" ht="13.2" x14ac:dyDescent="0.25">
      <c r="A812" s="17"/>
      <c r="B812" s="17"/>
      <c r="D812" s="18"/>
      <c r="E812" s="18"/>
      <c r="F812" s="18"/>
      <c r="G812" s="18"/>
      <c r="H812" s="58"/>
      <c r="I812" s="21"/>
      <c r="J812" s="22"/>
    </row>
    <row r="813" spans="1:10" ht="13.2" x14ac:dyDescent="0.25">
      <c r="A813" s="17"/>
      <c r="B813" s="17"/>
      <c r="D813" s="18"/>
      <c r="E813" s="18"/>
      <c r="F813" s="18"/>
      <c r="G813" s="18"/>
      <c r="H813" s="58"/>
      <c r="I813" s="21"/>
      <c r="J813" s="22"/>
    </row>
    <row r="814" spans="1:10" ht="13.2" x14ac:dyDescent="0.25">
      <c r="A814" s="17"/>
      <c r="B814" s="17"/>
      <c r="D814" s="18"/>
      <c r="E814" s="18"/>
      <c r="F814" s="18"/>
      <c r="G814" s="18"/>
      <c r="H814" s="58"/>
      <c r="I814" s="21"/>
      <c r="J814" s="22"/>
    </row>
    <row r="815" spans="1:10" ht="13.2" x14ac:dyDescent="0.25">
      <c r="A815" s="17"/>
      <c r="B815" s="17"/>
      <c r="D815" s="18"/>
      <c r="E815" s="18"/>
      <c r="F815" s="18"/>
      <c r="G815" s="18"/>
      <c r="H815" s="58"/>
      <c r="I815" s="21"/>
      <c r="J815" s="22"/>
    </row>
    <row r="816" spans="1:10" ht="13.2" x14ac:dyDescent="0.25">
      <c r="A816" s="17"/>
      <c r="B816" s="17"/>
      <c r="D816" s="18"/>
      <c r="E816" s="18"/>
      <c r="F816" s="18"/>
      <c r="G816" s="18"/>
      <c r="H816" s="58"/>
      <c r="I816" s="21"/>
      <c r="J816" s="22"/>
    </row>
    <row r="817" spans="1:10" ht="13.2" x14ac:dyDescent="0.25">
      <c r="A817" s="17"/>
      <c r="B817" s="17"/>
      <c r="D817" s="18"/>
      <c r="E817" s="18"/>
      <c r="F817" s="18"/>
      <c r="G817" s="18"/>
      <c r="H817" s="58"/>
      <c r="I817" s="21"/>
      <c r="J817" s="22"/>
    </row>
    <row r="818" spans="1:10" ht="13.2" x14ac:dyDescent="0.25">
      <c r="A818" s="17"/>
      <c r="B818" s="17"/>
      <c r="D818" s="18"/>
      <c r="E818" s="18"/>
      <c r="F818" s="18"/>
      <c r="G818" s="18"/>
      <c r="H818" s="58"/>
      <c r="I818" s="21"/>
      <c r="J818" s="22"/>
    </row>
    <row r="819" spans="1:10" ht="13.2" x14ac:dyDescent="0.25">
      <c r="A819" s="17"/>
      <c r="B819" s="17"/>
      <c r="D819" s="18"/>
      <c r="E819" s="18"/>
      <c r="F819" s="18"/>
      <c r="G819" s="18"/>
      <c r="H819" s="58"/>
      <c r="I819" s="21"/>
      <c r="J819" s="22"/>
    </row>
    <row r="820" spans="1:10" ht="13.2" x14ac:dyDescent="0.25">
      <c r="A820" s="17"/>
      <c r="B820" s="17"/>
      <c r="D820" s="18"/>
      <c r="E820" s="18"/>
      <c r="F820" s="18"/>
      <c r="G820" s="18"/>
      <c r="H820" s="58"/>
      <c r="I820" s="21"/>
      <c r="J820" s="22"/>
    </row>
    <row r="821" spans="1:10" ht="13.2" x14ac:dyDescent="0.25">
      <c r="A821" s="17"/>
      <c r="B821" s="17"/>
      <c r="D821" s="18"/>
      <c r="E821" s="18"/>
      <c r="F821" s="18"/>
      <c r="G821" s="18"/>
      <c r="H821" s="58"/>
      <c r="I821" s="21"/>
      <c r="J821" s="22"/>
    </row>
    <row r="822" spans="1:10" ht="13.2" x14ac:dyDescent="0.25">
      <c r="A822" s="17"/>
      <c r="B822" s="17"/>
      <c r="D822" s="18"/>
      <c r="E822" s="18"/>
      <c r="F822" s="18"/>
      <c r="G822" s="18"/>
      <c r="H822" s="58"/>
      <c r="I822" s="21"/>
      <c r="J822" s="22"/>
    </row>
    <row r="823" spans="1:10" ht="13.2" x14ac:dyDescent="0.25">
      <c r="A823" s="17"/>
      <c r="B823" s="17"/>
      <c r="D823" s="18"/>
      <c r="E823" s="18"/>
      <c r="F823" s="18"/>
      <c r="G823" s="18"/>
      <c r="H823" s="58"/>
      <c r="I823" s="21"/>
      <c r="J823" s="22"/>
    </row>
    <row r="824" spans="1:10" ht="13.2" x14ac:dyDescent="0.25">
      <c r="A824" s="17"/>
      <c r="B824" s="17"/>
      <c r="D824" s="18"/>
      <c r="E824" s="18"/>
      <c r="F824" s="18"/>
      <c r="G824" s="18"/>
      <c r="H824" s="58"/>
      <c r="I824" s="21"/>
      <c r="J824" s="22"/>
    </row>
    <row r="825" spans="1:10" ht="13.2" x14ac:dyDescent="0.25">
      <c r="A825" s="17"/>
      <c r="B825" s="17"/>
      <c r="D825" s="18"/>
      <c r="E825" s="18"/>
      <c r="F825" s="18"/>
      <c r="G825" s="18"/>
      <c r="H825" s="58"/>
      <c r="I825" s="21"/>
      <c r="J825" s="22"/>
    </row>
    <row r="826" spans="1:10" ht="13.2" x14ac:dyDescent="0.25">
      <c r="A826" s="17"/>
      <c r="B826" s="17"/>
      <c r="D826" s="18"/>
      <c r="E826" s="18"/>
      <c r="F826" s="18"/>
      <c r="G826" s="18"/>
      <c r="H826" s="58"/>
      <c r="I826" s="21"/>
      <c r="J826" s="22"/>
    </row>
    <row r="827" spans="1:10" ht="13.2" x14ac:dyDescent="0.25">
      <c r="A827" s="17"/>
      <c r="B827" s="17"/>
      <c r="D827" s="18"/>
      <c r="E827" s="18"/>
      <c r="F827" s="18"/>
      <c r="G827" s="18"/>
      <c r="H827" s="58"/>
      <c r="I827" s="21"/>
      <c r="J827" s="22"/>
    </row>
    <row r="828" spans="1:10" ht="13.2" x14ac:dyDescent="0.25">
      <c r="A828" s="17"/>
      <c r="B828" s="17"/>
      <c r="D828" s="18"/>
      <c r="E828" s="18"/>
      <c r="F828" s="18"/>
      <c r="G828" s="18"/>
      <c r="H828" s="58"/>
      <c r="I828" s="21"/>
      <c r="J828" s="22"/>
    </row>
    <row r="829" spans="1:10" ht="13.2" x14ac:dyDescent="0.25">
      <c r="A829" s="17"/>
      <c r="B829" s="17"/>
      <c r="D829" s="18"/>
      <c r="E829" s="18"/>
      <c r="F829" s="18"/>
      <c r="G829" s="18"/>
      <c r="H829" s="58"/>
      <c r="I829" s="21"/>
      <c r="J829" s="22"/>
    </row>
    <row r="830" spans="1:10" ht="13.2" x14ac:dyDescent="0.25">
      <c r="A830" s="17"/>
      <c r="B830" s="17"/>
      <c r="D830" s="18"/>
      <c r="E830" s="18"/>
      <c r="F830" s="18"/>
      <c r="G830" s="18"/>
      <c r="H830" s="58"/>
      <c r="I830" s="21"/>
      <c r="J830" s="22"/>
    </row>
    <row r="831" spans="1:10" ht="13.2" x14ac:dyDescent="0.25">
      <c r="A831" s="17"/>
      <c r="B831" s="17"/>
      <c r="D831" s="18"/>
      <c r="E831" s="18"/>
      <c r="F831" s="18"/>
      <c r="G831" s="18"/>
      <c r="H831" s="58"/>
      <c r="I831" s="21"/>
      <c r="J831" s="22"/>
    </row>
    <row r="832" spans="1:10" ht="13.2" x14ac:dyDescent="0.25">
      <c r="A832" s="17"/>
      <c r="B832" s="17"/>
      <c r="D832" s="18"/>
      <c r="E832" s="18"/>
      <c r="F832" s="18"/>
      <c r="G832" s="18"/>
      <c r="H832" s="58"/>
      <c r="I832" s="21"/>
      <c r="J832" s="22"/>
    </row>
    <row r="833" spans="1:10" ht="13.2" x14ac:dyDescent="0.25">
      <c r="A833" s="17"/>
      <c r="B833" s="17"/>
      <c r="D833" s="18"/>
      <c r="E833" s="18"/>
      <c r="F833" s="18"/>
      <c r="G833" s="18"/>
      <c r="H833" s="58"/>
      <c r="I833" s="21"/>
      <c r="J833" s="22"/>
    </row>
    <row r="834" spans="1:10" ht="13.2" x14ac:dyDescent="0.25">
      <c r="A834" s="17"/>
      <c r="B834" s="17"/>
      <c r="D834" s="18"/>
      <c r="E834" s="18"/>
      <c r="F834" s="18"/>
      <c r="G834" s="18"/>
      <c r="H834" s="58"/>
      <c r="I834" s="21"/>
      <c r="J834" s="22"/>
    </row>
    <row r="835" spans="1:10" ht="13.2" x14ac:dyDescent="0.25">
      <c r="A835" s="17"/>
      <c r="B835" s="17"/>
      <c r="D835" s="18"/>
      <c r="E835" s="18"/>
      <c r="F835" s="18"/>
      <c r="G835" s="18"/>
      <c r="H835" s="58"/>
      <c r="I835" s="21"/>
      <c r="J835" s="22"/>
    </row>
    <row r="836" spans="1:10" ht="13.2" x14ac:dyDescent="0.25">
      <c r="A836" s="17"/>
      <c r="B836" s="17"/>
      <c r="D836" s="18"/>
      <c r="E836" s="18"/>
      <c r="F836" s="18"/>
      <c r="G836" s="18"/>
      <c r="H836" s="58"/>
      <c r="I836" s="21"/>
      <c r="J836" s="22"/>
    </row>
    <row r="837" spans="1:10" ht="13.2" x14ac:dyDescent="0.25">
      <c r="A837" s="17"/>
      <c r="B837" s="17"/>
      <c r="D837" s="18"/>
      <c r="E837" s="18"/>
      <c r="F837" s="18"/>
      <c r="G837" s="18"/>
      <c r="H837" s="58"/>
      <c r="I837" s="21"/>
      <c r="J837" s="22"/>
    </row>
    <row r="838" spans="1:10" ht="13.2" x14ac:dyDescent="0.25">
      <c r="A838" s="17"/>
      <c r="B838" s="17"/>
      <c r="D838" s="18"/>
      <c r="E838" s="18"/>
      <c r="F838" s="18"/>
      <c r="G838" s="18"/>
      <c r="H838" s="58"/>
      <c r="I838" s="21"/>
      <c r="J838" s="22"/>
    </row>
    <row r="839" spans="1:10" ht="13.2" x14ac:dyDescent="0.25">
      <c r="A839" s="17"/>
      <c r="B839" s="17"/>
      <c r="D839" s="18"/>
      <c r="E839" s="18"/>
      <c r="F839" s="18"/>
      <c r="G839" s="18"/>
      <c r="H839" s="58"/>
      <c r="I839" s="21"/>
      <c r="J839" s="22"/>
    </row>
    <row r="840" spans="1:10" ht="13.2" x14ac:dyDescent="0.25">
      <c r="A840" s="17"/>
      <c r="B840" s="17"/>
      <c r="D840" s="18"/>
      <c r="E840" s="18"/>
      <c r="F840" s="18"/>
      <c r="G840" s="18"/>
      <c r="H840" s="58"/>
      <c r="I840" s="21"/>
      <c r="J840" s="22"/>
    </row>
    <row r="841" spans="1:10" ht="13.2" x14ac:dyDescent="0.25">
      <c r="A841" s="17"/>
      <c r="B841" s="17"/>
      <c r="D841" s="18"/>
      <c r="E841" s="18"/>
      <c r="F841" s="18"/>
      <c r="G841" s="18"/>
      <c r="H841" s="58"/>
      <c r="I841" s="21"/>
      <c r="J841" s="22"/>
    </row>
    <row r="842" spans="1:10" ht="13.2" x14ac:dyDescent="0.25">
      <c r="A842" s="17"/>
      <c r="B842" s="17"/>
      <c r="D842" s="18"/>
      <c r="E842" s="18"/>
      <c r="F842" s="18"/>
      <c r="G842" s="18"/>
      <c r="H842" s="58"/>
      <c r="I842" s="21"/>
      <c r="J842" s="22"/>
    </row>
    <row r="843" spans="1:10" ht="13.2" x14ac:dyDescent="0.25">
      <c r="A843" s="17"/>
      <c r="B843" s="17"/>
      <c r="D843" s="18"/>
      <c r="E843" s="18"/>
      <c r="F843" s="18"/>
      <c r="G843" s="18"/>
      <c r="H843" s="58"/>
      <c r="I843" s="21"/>
      <c r="J843" s="22"/>
    </row>
    <row r="844" spans="1:10" ht="13.2" x14ac:dyDescent="0.25">
      <c r="A844" s="17"/>
      <c r="B844" s="17"/>
      <c r="D844" s="18"/>
      <c r="E844" s="18"/>
      <c r="F844" s="18"/>
      <c r="G844" s="18"/>
      <c r="H844" s="58"/>
      <c r="I844" s="21"/>
      <c r="J844" s="22"/>
    </row>
    <row r="845" spans="1:10" ht="13.2" x14ac:dyDescent="0.25">
      <c r="A845" s="17"/>
      <c r="B845" s="17"/>
      <c r="D845" s="18"/>
      <c r="E845" s="18"/>
      <c r="F845" s="18"/>
      <c r="G845" s="18"/>
      <c r="H845" s="58"/>
      <c r="I845" s="21"/>
      <c r="J845" s="22"/>
    </row>
    <row r="846" spans="1:10" ht="13.2" x14ac:dyDescent="0.25">
      <c r="A846" s="17"/>
      <c r="B846" s="17"/>
      <c r="D846" s="18"/>
      <c r="E846" s="18"/>
      <c r="F846" s="18"/>
      <c r="G846" s="18"/>
      <c r="H846" s="58"/>
      <c r="I846" s="21"/>
      <c r="J846" s="22"/>
    </row>
    <row r="847" spans="1:10" ht="13.2" x14ac:dyDescent="0.25">
      <c r="A847" s="17"/>
      <c r="B847" s="17"/>
      <c r="D847" s="18"/>
      <c r="E847" s="18"/>
      <c r="F847" s="18"/>
      <c r="G847" s="18"/>
      <c r="H847" s="58"/>
      <c r="I847" s="21"/>
      <c r="J847" s="22"/>
    </row>
    <row r="848" spans="1:10" ht="13.2" x14ac:dyDescent="0.25">
      <c r="A848" s="17"/>
      <c r="B848" s="17"/>
      <c r="D848" s="18"/>
      <c r="E848" s="18"/>
      <c r="F848" s="18"/>
      <c r="G848" s="18"/>
      <c r="H848" s="58"/>
      <c r="I848" s="21"/>
      <c r="J848" s="22"/>
    </row>
    <row r="849" spans="1:10" ht="13.2" x14ac:dyDescent="0.25">
      <c r="A849" s="17"/>
      <c r="B849" s="17"/>
      <c r="D849" s="18"/>
      <c r="E849" s="18"/>
      <c r="F849" s="18"/>
      <c r="G849" s="18"/>
      <c r="H849" s="58"/>
      <c r="I849" s="21"/>
      <c r="J849" s="22"/>
    </row>
    <row r="850" spans="1:10" ht="13.2" x14ac:dyDescent="0.25">
      <c r="A850" s="17"/>
      <c r="B850" s="17"/>
      <c r="D850" s="18"/>
      <c r="E850" s="18"/>
      <c r="F850" s="18"/>
      <c r="G850" s="18"/>
      <c r="H850" s="58"/>
      <c r="I850" s="21"/>
      <c r="J850" s="22"/>
    </row>
    <row r="851" spans="1:10" ht="13.2" x14ac:dyDescent="0.25">
      <c r="A851" s="17"/>
      <c r="B851" s="17"/>
      <c r="D851" s="18"/>
      <c r="E851" s="18"/>
      <c r="F851" s="18"/>
      <c r="G851" s="18"/>
      <c r="H851" s="58"/>
      <c r="I851" s="21"/>
      <c r="J851" s="22"/>
    </row>
    <row r="852" spans="1:10" ht="13.2" x14ac:dyDescent="0.25">
      <c r="A852" s="17"/>
      <c r="B852" s="17"/>
      <c r="D852" s="18"/>
      <c r="E852" s="18"/>
      <c r="F852" s="18"/>
      <c r="G852" s="18"/>
      <c r="H852" s="58"/>
      <c r="I852" s="21"/>
      <c r="J852" s="22"/>
    </row>
    <row r="853" spans="1:10" ht="13.2" x14ac:dyDescent="0.25">
      <c r="A853" s="17"/>
      <c r="B853" s="17"/>
      <c r="D853" s="18"/>
      <c r="E853" s="18"/>
      <c r="F853" s="18"/>
      <c r="G853" s="18"/>
      <c r="H853" s="58"/>
      <c r="I853" s="21"/>
      <c r="J853" s="22"/>
    </row>
    <row r="854" spans="1:10" ht="13.2" x14ac:dyDescent="0.25">
      <c r="A854" s="17"/>
      <c r="B854" s="17"/>
      <c r="D854" s="18"/>
      <c r="E854" s="18"/>
      <c r="F854" s="18"/>
      <c r="G854" s="18"/>
      <c r="H854" s="58"/>
      <c r="I854" s="21"/>
      <c r="J854" s="22"/>
    </row>
    <row r="855" spans="1:10" ht="13.2" x14ac:dyDescent="0.25">
      <c r="A855" s="17"/>
      <c r="B855" s="17"/>
      <c r="D855" s="18"/>
      <c r="E855" s="18"/>
      <c r="F855" s="18"/>
      <c r="G855" s="18"/>
      <c r="H855" s="58"/>
      <c r="I855" s="21"/>
      <c r="J855" s="22"/>
    </row>
    <row r="856" spans="1:10" ht="13.2" x14ac:dyDescent="0.25">
      <c r="A856" s="17"/>
      <c r="B856" s="17"/>
      <c r="D856" s="18"/>
      <c r="E856" s="18"/>
      <c r="F856" s="18"/>
      <c r="G856" s="18"/>
      <c r="H856" s="58"/>
      <c r="I856" s="21"/>
      <c r="J856" s="22"/>
    </row>
    <row r="857" spans="1:10" ht="13.2" x14ac:dyDescent="0.25">
      <c r="A857" s="17"/>
      <c r="B857" s="17"/>
      <c r="D857" s="18"/>
      <c r="E857" s="18"/>
      <c r="F857" s="18"/>
      <c r="G857" s="18"/>
      <c r="H857" s="58"/>
      <c r="I857" s="21"/>
      <c r="J857" s="22"/>
    </row>
    <row r="858" spans="1:10" ht="13.2" x14ac:dyDescent="0.25">
      <c r="A858" s="17"/>
      <c r="B858" s="17"/>
      <c r="D858" s="18"/>
      <c r="E858" s="18"/>
      <c r="F858" s="18"/>
      <c r="G858" s="18"/>
      <c r="H858" s="58"/>
      <c r="I858" s="21"/>
      <c r="J858" s="22"/>
    </row>
    <row r="859" spans="1:10" ht="13.2" x14ac:dyDescent="0.25">
      <c r="A859" s="17"/>
      <c r="B859" s="17"/>
      <c r="D859" s="18"/>
      <c r="E859" s="18"/>
      <c r="F859" s="18"/>
      <c r="G859" s="18"/>
      <c r="H859" s="58"/>
      <c r="I859" s="21"/>
      <c r="J859" s="22"/>
    </row>
    <row r="860" spans="1:10" ht="13.2" x14ac:dyDescent="0.25">
      <c r="A860" s="17"/>
      <c r="B860" s="17"/>
      <c r="D860" s="18"/>
      <c r="E860" s="18"/>
      <c r="F860" s="18"/>
      <c r="G860" s="18"/>
      <c r="H860" s="58"/>
      <c r="I860" s="21"/>
      <c r="J860" s="22"/>
    </row>
    <row r="861" spans="1:10" ht="13.2" x14ac:dyDescent="0.25">
      <c r="A861" s="17"/>
      <c r="B861" s="17"/>
      <c r="D861" s="18"/>
      <c r="E861" s="18"/>
      <c r="F861" s="18"/>
      <c r="G861" s="18"/>
      <c r="H861" s="58"/>
      <c r="I861" s="21"/>
      <c r="J861" s="22"/>
    </row>
    <row r="862" spans="1:10" ht="13.2" x14ac:dyDescent="0.25">
      <c r="A862" s="17"/>
      <c r="B862" s="17"/>
      <c r="D862" s="18"/>
      <c r="E862" s="18"/>
      <c r="F862" s="18"/>
      <c r="G862" s="18"/>
      <c r="H862" s="58"/>
      <c r="I862" s="21"/>
      <c r="J862" s="22"/>
    </row>
    <row r="863" spans="1:10" ht="13.2" x14ac:dyDescent="0.25">
      <c r="A863" s="17"/>
      <c r="B863" s="17"/>
      <c r="D863" s="18"/>
      <c r="E863" s="18"/>
      <c r="F863" s="18"/>
      <c r="G863" s="18"/>
      <c r="H863" s="58"/>
      <c r="I863" s="21"/>
      <c r="J863" s="22"/>
    </row>
    <row r="864" spans="1:10" ht="13.2" x14ac:dyDescent="0.25">
      <c r="A864" s="17"/>
      <c r="B864" s="17"/>
      <c r="D864" s="18"/>
      <c r="E864" s="18"/>
      <c r="F864" s="18"/>
      <c r="G864" s="18"/>
      <c r="H864" s="58"/>
      <c r="I864" s="21"/>
      <c r="J864" s="22"/>
    </row>
    <row r="865" spans="1:10" ht="13.2" x14ac:dyDescent="0.25">
      <c r="A865" s="17"/>
      <c r="B865" s="17"/>
      <c r="D865" s="18"/>
      <c r="E865" s="18"/>
      <c r="F865" s="18"/>
      <c r="G865" s="18"/>
      <c r="H865" s="58"/>
      <c r="I865" s="21"/>
      <c r="J865" s="22"/>
    </row>
    <row r="866" spans="1:10" ht="13.2" x14ac:dyDescent="0.25">
      <c r="A866" s="17"/>
      <c r="B866" s="17"/>
      <c r="D866" s="18"/>
      <c r="E866" s="18"/>
      <c r="F866" s="18"/>
      <c r="G866" s="18"/>
      <c r="H866" s="58"/>
      <c r="I866" s="21"/>
      <c r="J866" s="22"/>
    </row>
    <row r="867" spans="1:10" ht="13.2" x14ac:dyDescent="0.25">
      <c r="A867" s="17"/>
      <c r="B867" s="17"/>
      <c r="D867" s="18"/>
      <c r="E867" s="18"/>
      <c r="F867" s="18"/>
      <c r="G867" s="18"/>
      <c r="H867" s="58"/>
      <c r="I867" s="21"/>
      <c r="J867" s="22"/>
    </row>
    <row r="868" spans="1:10" ht="13.2" x14ac:dyDescent="0.25">
      <c r="A868" s="17"/>
      <c r="B868" s="17"/>
      <c r="D868" s="18"/>
      <c r="E868" s="18"/>
      <c r="F868" s="18"/>
      <c r="G868" s="18"/>
      <c r="H868" s="58"/>
      <c r="I868" s="21"/>
      <c r="J868" s="22"/>
    </row>
    <row r="869" spans="1:10" ht="13.2" x14ac:dyDescent="0.25">
      <c r="A869" s="17"/>
      <c r="B869" s="17"/>
      <c r="D869" s="18"/>
      <c r="E869" s="18"/>
      <c r="F869" s="18"/>
      <c r="G869" s="18"/>
      <c r="H869" s="58"/>
      <c r="I869" s="21"/>
      <c r="J869" s="22"/>
    </row>
    <row r="870" spans="1:10" ht="13.2" x14ac:dyDescent="0.25">
      <c r="A870" s="17"/>
      <c r="B870" s="17"/>
      <c r="D870" s="18"/>
      <c r="E870" s="18"/>
      <c r="F870" s="18"/>
      <c r="G870" s="18"/>
      <c r="H870" s="58"/>
      <c r="I870" s="21"/>
      <c r="J870" s="22"/>
    </row>
    <row r="871" spans="1:10" ht="13.2" x14ac:dyDescent="0.25">
      <c r="A871" s="17"/>
      <c r="B871" s="17"/>
      <c r="D871" s="18"/>
      <c r="E871" s="18"/>
      <c r="F871" s="18"/>
      <c r="G871" s="18"/>
      <c r="H871" s="58"/>
      <c r="I871" s="21"/>
      <c r="J871" s="22"/>
    </row>
    <row r="872" spans="1:10" ht="13.2" x14ac:dyDescent="0.25">
      <c r="A872" s="17"/>
      <c r="B872" s="17"/>
      <c r="D872" s="18"/>
      <c r="E872" s="18"/>
      <c r="F872" s="18"/>
      <c r="G872" s="18"/>
      <c r="H872" s="58"/>
      <c r="I872" s="21"/>
      <c r="J872" s="22"/>
    </row>
    <row r="873" spans="1:10" ht="13.2" x14ac:dyDescent="0.25">
      <c r="A873" s="17"/>
      <c r="B873" s="17"/>
      <c r="D873" s="18"/>
      <c r="E873" s="18"/>
      <c r="F873" s="18"/>
      <c r="G873" s="18"/>
      <c r="H873" s="58"/>
      <c r="I873" s="21"/>
      <c r="J873" s="22"/>
    </row>
    <row r="874" spans="1:10" ht="13.2" x14ac:dyDescent="0.25">
      <c r="A874" s="17"/>
      <c r="B874" s="17"/>
      <c r="D874" s="18"/>
      <c r="E874" s="18"/>
      <c r="F874" s="18"/>
      <c r="G874" s="18"/>
      <c r="H874" s="58"/>
      <c r="I874" s="21"/>
      <c r="J874" s="22"/>
    </row>
    <row r="875" spans="1:10" ht="13.2" x14ac:dyDescent="0.25">
      <c r="A875" s="17"/>
      <c r="B875" s="17"/>
      <c r="D875" s="18"/>
      <c r="E875" s="18"/>
      <c r="F875" s="18"/>
      <c r="G875" s="18"/>
      <c r="H875" s="58"/>
      <c r="I875" s="21"/>
      <c r="J875" s="22"/>
    </row>
    <row r="876" spans="1:10" ht="13.2" x14ac:dyDescent="0.25">
      <c r="A876" s="17"/>
      <c r="B876" s="17"/>
      <c r="D876" s="18"/>
      <c r="E876" s="18"/>
      <c r="F876" s="18"/>
      <c r="G876" s="18"/>
      <c r="H876" s="58"/>
      <c r="I876" s="21"/>
      <c r="J876" s="22"/>
    </row>
    <row r="877" spans="1:10" ht="13.2" x14ac:dyDescent="0.25">
      <c r="A877" s="17"/>
      <c r="B877" s="17"/>
      <c r="D877" s="18"/>
      <c r="E877" s="18"/>
      <c r="F877" s="18"/>
      <c r="G877" s="18"/>
      <c r="H877" s="58"/>
      <c r="I877" s="21"/>
      <c r="J877" s="22"/>
    </row>
    <row r="878" spans="1:10" ht="13.2" x14ac:dyDescent="0.25">
      <c r="A878" s="17"/>
      <c r="B878" s="17"/>
      <c r="D878" s="18"/>
      <c r="E878" s="18"/>
      <c r="F878" s="18"/>
      <c r="G878" s="18"/>
      <c r="H878" s="58"/>
      <c r="I878" s="21"/>
      <c r="J878" s="22"/>
    </row>
    <row r="879" spans="1:10" ht="13.2" x14ac:dyDescent="0.25">
      <c r="A879" s="17"/>
      <c r="B879" s="17"/>
      <c r="D879" s="18"/>
      <c r="E879" s="18"/>
      <c r="F879" s="18"/>
      <c r="G879" s="18"/>
      <c r="H879" s="58"/>
      <c r="I879" s="21"/>
      <c r="J879" s="22"/>
    </row>
    <row r="880" spans="1:10" ht="13.2" x14ac:dyDescent="0.25">
      <c r="A880" s="17"/>
      <c r="B880" s="17"/>
      <c r="D880" s="18"/>
      <c r="E880" s="18"/>
      <c r="F880" s="18"/>
      <c r="G880" s="18"/>
      <c r="H880" s="58"/>
      <c r="I880" s="21"/>
      <c r="J880" s="22"/>
    </row>
    <row r="881" spans="1:10" ht="13.2" x14ac:dyDescent="0.25">
      <c r="A881" s="17"/>
      <c r="B881" s="17"/>
      <c r="D881" s="18"/>
      <c r="E881" s="18"/>
      <c r="F881" s="18"/>
      <c r="G881" s="18"/>
      <c r="H881" s="58"/>
      <c r="I881" s="21"/>
      <c r="J881" s="22"/>
    </row>
    <row r="882" spans="1:10" ht="13.2" x14ac:dyDescent="0.25">
      <c r="A882" s="17"/>
      <c r="B882" s="17"/>
      <c r="D882" s="18"/>
      <c r="E882" s="18"/>
      <c r="F882" s="18"/>
      <c r="G882" s="18"/>
      <c r="H882" s="58"/>
      <c r="I882" s="21"/>
      <c r="J882" s="22"/>
    </row>
    <row r="883" spans="1:10" ht="13.2" x14ac:dyDescent="0.25">
      <c r="A883" s="17"/>
      <c r="B883" s="17"/>
      <c r="D883" s="18"/>
      <c r="E883" s="18"/>
      <c r="F883" s="18"/>
      <c r="G883" s="18"/>
      <c r="H883" s="58"/>
      <c r="I883" s="21"/>
      <c r="J883" s="22"/>
    </row>
    <row r="884" spans="1:10" ht="13.2" x14ac:dyDescent="0.25">
      <c r="A884" s="17"/>
      <c r="B884" s="17"/>
      <c r="D884" s="18"/>
      <c r="E884" s="18"/>
      <c r="F884" s="18"/>
      <c r="G884" s="18"/>
      <c r="H884" s="58"/>
      <c r="I884" s="21"/>
      <c r="J884" s="22"/>
    </row>
    <row r="885" spans="1:10" ht="13.2" x14ac:dyDescent="0.25">
      <c r="A885" s="17"/>
      <c r="B885" s="17"/>
      <c r="D885" s="18"/>
      <c r="E885" s="18"/>
      <c r="F885" s="18"/>
      <c r="G885" s="18"/>
      <c r="H885" s="58"/>
      <c r="I885" s="21"/>
      <c r="J885" s="22"/>
    </row>
    <row r="886" spans="1:10" ht="13.2" x14ac:dyDescent="0.25">
      <c r="A886" s="17"/>
      <c r="B886" s="17"/>
      <c r="D886" s="18"/>
      <c r="E886" s="18"/>
      <c r="F886" s="18"/>
      <c r="G886" s="18"/>
      <c r="H886" s="58"/>
      <c r="I886" s="21"/>
      <c r="J886" s="22"/>
    </row>
    <row r="887" spans="1:10" ht="13.2" x14ac:dyDescent="0.25">
      <c r="A887" s="17"/>
      <c r="B887" s="17"/>
      <c r="D887" s="18"/>
      <c r="E887" s="18"/>
      <c r="F887" s="18"/>
      <c r="G887" s="18"/>
      <c r="H887" s="58"/>
      <c r="I887" s="21"/>
      <c r="J887" s="22"/>
    </row>
    <row r="888" spans="1:10" ht="13.2" x14ac:dyDescent="0.25">
      <c r="A888" s="17"/>
      <c r="B888" s="17"/>
      <c r="D888" s="18"/>
      <c r="E888" s="18"/>
      <c r="F888" s="18"/>
      <c r="G888" s="18"/>
      <c r="H888" s="58"/>
      <c r="I888" s="21"/>
      <c r="J888" s="22"/>
    </row>
    <row r="889" spans="1:10" ht="13.2" x14ac:dyDescent="0.25">
      <c r="A889" s="17"/>
      <c r="B889" s="17"/>
      <c r="D889" s="18"/>
      <c r="E889" s="18"/>
      <c r="F889" s="18"/>
      <c r="G889" s="18"/>
      <c r="H889" s="58"/>
      <c r="I889" s="21"/>
      <c r="J889" s="22"/>
    </row>
    <row r="890" spans="1:10" ht="13.2" x14ac:dyDescent="0.25">
      <c r="A890" s="17"/>
      <c r="B890" s="17"/>
      <c r="D890" s="18"/>
      <c r="E890" s="18"/>
      <c r="F890" s="18"/>
      <c r="G890" s="18"/>
      <c r="H890" s="58"/>
      <c r="I890" s="21"/>
      <c r="J890" s="22"/>
    </row>
    <row r="891" spans="1:10" ht="13.2" x14ac:dyDescent="0.25">
      <c r="A891" s="17"/>
      <c r="B891" s="17"/>
      <c r="D891" s="18"/>
      <c r="E891" s="18"/>
      <c r="F891" s="18"/>
      <c r="G891" s="18"/>
      <c r="H891" s="58"/>
      <c r="I891" s="21"/>
      <c r="J891" s="22"/>
    </row>
    <row r="892" spans="1:10" ht="13.2" x14ac:dyDescent="0.25">
      <c r="A892" s="17"/>
      <c r="B892" s="17"/>
      <c r="D892" s="18"/>
      <c r="E892" s="18"/>
      <c r="F892" s="18"/>
      <c r="G892" s="18"/>
      <c r="H892" s="58"/>
      <c r="I892" s="21"/>
      <c r="J892" s="22"/>
    </row>
    <row r="893" spans="1:10" ht="13.2" x14ac:dyDescent="0.25">
      <c r="A893" s="17"/>
      <c r="B893" s="17"/>
      <c r="D893" s="18"/>
      <c r="E893" s="18"/>
      <c r="F893" s="18"/>
      <c r="G893" s="18"/>
      <c r="H893" s="58"/>
      <c r="I893" s="21"/>
      <c r="J893" s="22"/>
    </row>
    <row r="894" spans="1:10" ht="13.2" x14ac:dyDescent="0.25">
      <c r="A894" s="17"/>
      <c r="B894" s="17"/>
      <c r="D894" s="18"/>
      <c r="E894" s="18"/>
      <c r="F894" s="18"/>
      <c r="G894" s="18"/>
      <c r="H894" s="58"/>
      <c r="I894" s="21"/>
      <c r="J894" s="22"/>
    </row>
    <row r="895" spans="1:10" ht="13.2" x14ac:dyDescent="0.25">
      <c r="A895" s="17"/>
      <c r="B895" s="17"/>
      <c r="D895" s="18"/>
      <c r="E895" s="18"/>
      <c r="F895" s="18"/>
      <c r="G895" s="18"/>
      <c r="H895" s="58"/>
      <c r="I895" s="21"/>
      <c r="J895" s="22"/>
    </row>
    <row r="896" spans="1:10" ht="13.2" x14ac:dyDescent="0.25">
      <c r="A896" s="17"/>
      <c r="B896" s="17"/>
      <c r="D896" s="18"/>
      <c r="E896" s="18"/>
      <c r="F896" s="18"/>
      <c r="G896" s="18"/>
      <c r="H896" s="58"/>
      <c r="I896" s="21"/>
      <c r="J896" s="22"/>
    </row>
    <row r="897" spans="1:10" ht="13.2" x14ac:dyDescent="0.25">
      <c r="A897" s="17"/>
      <c r="B897" s="17"/>
      <c r="D897" s="18"/>
      <c r="E897" s="18"/>
      <c r="F897" s="18"/>
      <c r="G897" s="18"/>
      <c r="H897" s="58"/>
      <c r="I897" s="21"/>
      <c r="J897" s="22"/>
    </row>
    <row r="898" spans="1:10" ht="13.2" x14ac:dyDescent="0.25">
      <c r="A898" s="17"/>
      <c r="B898" s="17"/>
      <c r="D898" s="18"/>
      <c r="E898" s="18"/>
      <c r="F898" s="18"/>
      <c r="G898" s="18"/>
      <c r="H898" s="58"/>
      <c r="I898" s="21"/>
      <c r="J898" s="22"/>
    </row>
    <row r="899" spans="1:10" ht="13.2" x14ac:dyDescent="0.25">
      <c r="A899" s="17"/>
      <c r="B899" s="17"/>
      <c r="D899" s="18"/>
      <c r="E899" s="18"/>
      <c r="F899" s="18"/>
      <c r="G899" s="18"/>
      <c r="H899" s="58"/>
      <c r="I899" s="21"/>
      <c r="J899" s="22"/>
    </row>
    <row r="900" spans="1:10" ht="13.2" x14ac:dyDescent="0.25">
      <c r="A900" s="17"/>
      <c r="B900" s="17"/>
      <c r="D900" s="18"/>
      <c r="E900" s="18"/>
      <c r="F900" s="18"/>
      <c r="G900" s="18"/>
      <c r="H900" s="58"/>
      <c r="I900" s="21"/>
      <c r="J900" s="22"/>
    </row>
    <row r="901" spans="1:10" ht="13.2" x14ac:dyDescent="0.25">
      <c r="A901" s="17"/>
      <c r="B901" s="17"/>
      <c r="D901" s="18"/>
      <c r="E901" s="18"/>
      <c r="F901" s="18"/>
      <c r="G901" s="18"/>
      <c r="H901" s="58"/>
      <c r="I901" s="21"/>
      <c r="J901" s="22"/>
    </row>
    <row r="902" spans="1:10" ht="13.2" x14ac:dyDescent="0.25">
      <c r="A902" s="17"/>
      <c r="B902" s="17"/>
      <c r="D902" s="18"/>
      <c r="E902" s="18"/>
      <c r="F902" s="18"/>
      <c r="G902" s="18"/>
      <c r="H902" s="58"/>
      <c r="I902" s="21"/>
      <c r="J902" s="22"/>
    </row>
    <row r="903" spans="1:10" ht="13.2" x14ac:dyDescent="0.25">
      <c r="A903" s="17"/>
      <c r="B903" s="17"/>
      <c r="D903" s="18"/>
      <c r="E903" s="18"/>
      <c r="F903" s="18"/>
      <c r="G903" s="18"/>
      <c r="H903" s="58"/>
      <c r="I903" s="21"/>
      <c r="J903" s="22"/>
    </row>
    <row r="904" spans="1:10" ht="13.2" x14ac:dyDescent="0.25">
      <c r="A904" s="17"/>
      <c r="B904" s="17"/>
      <c r="D904" s="18"/>
      <c r="E904" s="18"/>
      <c r="F904" s="18"/>
      <c r="G904" s="18"/>
      <c r="H904" s="58"/>
      <c r="I904" s="21"/>
      <c r="J904" s="22"/>
    </row>
    <row r="905" spans="1:10" ht="13.2" x14ac:dyDescent="0.25">
      <c r="A905" s="17"/>
      <c r="B905" s="17"/>
      <c r="D905" s="18"/>
      <c r="E905" s="18"/>
      <c r="F905" s="18"/>
      <c r="G905" s="18"/>
      <c r="H905" s="58"/>
      <c r="I905" s="21"/>
      <c r="J905" s="22"/>
    </row>
    <row r="906" spans="1:10" ht="13.2" x14ac:dyDescent="0.25">
      <c r="A906" s="17"/>
      <c r="B906" s="17"/>
      <c r="D906" s="18"/>
      <c r="E906" s="18"/>
      <c r="F906" s="18"/>
      <c r="G906" s="18"/>
      <c r="H906" s="58"/>
      <c r="I906" s="21"/>
      <c r="J906" s="22"/>
    </row>
    <row r="907" spans="1:10" ht="13.2" x14ac:dyDescent="0.25">
      <c r="A907" s="17"/>
      <c r="B907" s="17"/>
      <c r="D907" s="18"/>
      <c r="E907" s="18"/>
      <c r="F907" s="18"/>
      <c r="G907" s="18"/>
      <c r="H907" s="58"/>
      <c r="I907" s="21"/>
      <c r="J907" s="22"/>
    </row>
    <row r="908" spans="1:10" ht="13.2" x14ac:dyDescent="0.25">
      <c r="A908" s="17"/>
      <c r="B908" s="17"/>
      <c r="D908" s="18"/>
      <c r="E908" s="18"/>
      <c r="F908" s="18"/>
      <c r="G908" s="18"/>
      <c r="H908" s="58"/>
      <c r="I908" s="21"/>
      <c r="J908" s="22"/>
    </row>
    <row r="909" spans="1:10" ht="13.2" x14ac:dyDescent="0.25">
      <c r="A909" s="17"/>
      <c r="B909" s="17"/>
      <c r="D909" s="18"/>
      <c r="E909" s="18"/>
      <c r="F909" s="18"/>
      <c r="G909" s="18"/>
      <c r="H909" s="58"/>
      <c r="I909" s="21"/>
      <c r="J909" s="22"/>
    </row>
    <row r="910" spans="1:10" ht="13.2" x14ac:dyDescent="0.25">
      <c r="A910" s="17"/>
      <c r="B910" s="17"/>
      <c r="D910" s="18"/>
      <c r="E910" s="18"/>
      <c r="F910" s="18"/>
      <c r="G910" s="18"/>
      <c r="H910" s="58"/>
      <c r="I910" s="21"/>
      <c r="J910" s="22"/>
    </row>
    <row r="911" spans="1:10" ht="13.2" x14ac:dyDescent="0.25">
      <c r="A911" s="17"/>
      <c r="B911" s="17"/>
      <c r="D911" s="18"/>
      <c r="E911" s="18"/>
      <c r="F911" s="18"/>
      <c r="G911" s="18"/>
      <c r="H911" s="58"/>
      <c r="I911" s="21"/>
      <c r="J911" s="22"/>
    </row>
    <row r="912" spans="1:10" ht="13.2" x14ac:dyDescent="0.25">
      <c r="A912" s="17"/>
      <c r="B912" s="17"/>
      <c r="D912" s="18"/>
      <c r="E912" s="18"/>
      <c r="F912" s="18"/>
      <c r="G912" s="18"/>
      <c r="H912" s="58"/>
      <c r="I912" s="21"/>
      <c r="J912" s="22"/>
    </row>
    <row r="913" spans="1:10" ht="13.2" x14ac:dyDescent="0.25">
      <c r="A913" s="17"/>
      <c r="B913" s="17"/>
      <c r="D913" s="18"/>
      <c r="E913" s="18"/>
      <c r="F913" s="18"/>
      <c r="G913" s="18"/>
      <c r="H913" s="58"/>
      <c r="I913" s="21"/>
      <c r="J913" s="22"/>
    </row>
    <row r="914" spans="1:10" ht="13.2" x14ac:dyDescent="0.25">
      <c r="A914" s="17"/>
      <c r="B914" s="17"/>
      <c r="D914" s="18"/>
      <c r="E914" s="18"/>
      <c r="F914" s="18"/>
      <c r="G914" s="18"/>
      <c r="H914" s="58"/>
      <c r="I914" s="21"/>
      <c r="J914" s="22"/>
    </row>
    <row r="915" spans="1:10" ht="13.2" x14ac:dyDescent="0.25">
      <c r="A915" s="17"/>
      <c r="B915" s="17"/>
      <c r="D915" s="18"/>
      <c r="E915" s="18"/>
      <c r="F915" s="18"/>
      <c r="G915" s="18"/>
      <c r="H915" s="58"/>
      <c r="I915" s="21"/>
      <c r="J915" s="22"/>
    </row>
    <row r="916" spans="1:10" ht="13.2" x14ac:dyDescent="0.25">
      <c r="A916" s="17"/>
      <c r="B916" s="17"/>
      <c r="D916" s="18"/>
      <c r="E916" s="18"/>
      <c r="F916" s="18"/>
      <c r="G916" s="18"/>
      <c r="H916" s="58"/>
      <c r="I916" s="21"/>
      <c r="J916" s="22"/>
    </row>
    <row r="917" spans="1:10" ht="13.2" x14ac:dyDescent="0.25">
      <c r="A917" s="17"/>
      <c r="B917" s="17"/>
      <c r="D917" s="18"/>
      <c r="E917" s="18"/>
      <c r="F917" s="18"/>
      <c r="G917" s="18"/>
      <c r="H917" s="58"/>
      <c r="I917" s="21"/>
      <c r="J917" s="22"/>
    </row>
    <row r="918" spans="1:10" ht="13.2" x14ac:dyDescent="0.25">
      <c r="A918" s="17"/>
      <c r="B918" s="17"/>
      <c r="D918" s="18"/>
      <c r="E918" s="18"/>
      <c r="F918" s="18"/>
      <c r="G918" s="18"/>
      <c r="H918" s="58"/>
      <c r="I918" s="21"/>
      <c r="J918" s="22"/>
    </row>
    <row r="919" spans="1:10" ht="13.2" x14ac:dyDescent="0.25">
      <c r="A919" s="17"/>
      <c r="B919" s="17"/>
      <c r="D919" s="18"/>
      <c r="E919" s="18"/>
      <c r="F919" s="18"/>
      <c r="G919" s="18"/>
      <c r="H919" s="58"/>
      <c r="I919" s="21"/>
      <c r="J919" s="22"/>
    </row>
    <row r="920" spans="1:10" ht="13.2" x14ac:dyDescent="0.25">
      <c r="A920" s="17"/>
      <c r="B920" s="17"/>
      <c r="D920" s="18"/>
      <c r="E920" s="18"/>
      <c r="F920" s="18"/>
      <c r="G920" s="18"/>
      <c r="H920" s="58"/>
      <c r="I920" s="21"/>
      <c r="J920" s="22"/>
    </row>
    <row r="921" spans="1:10" ht="13.2" x14ac:dyDescent="0.25">
      <c r="A921" s="17"/>
      <c r="B921" s="17"/>
      <c r="D921" s="18"/>
      <c r="E921" s="18"/>
      <c r="F921" s="18"/>
      <c r="G921" s="18"/>
      <c r="H921" s="58"/>
      <c r="I921" s="21"/>
      <c r="J921" s="22"/>
    </row>
    <row r="922" spans="1:10" ht="13.2" x14ac:dyDescent="0.25">
      <c r="A922" s="17"/>
      <c r="B922" s="17"/>
      <c r="D922" s="18"/>
      <c r="E922" s="18"/>
      <c r="F922" s="18"/>
      <c r="G922" s="18"/>
      <c r="H922" s="58"/>
      <c r="I922" s="21"/>
      <c r="J922" s="22"/>
    </row>
    <row r="923" spans="1:10" ht="13.2" x14ac:dyDescent="0.25">
      <c r="A923" s="17"/>
      <c r="B923" s="17"/>
      <c r="D923" s="18"/>
      <c r="E923" s="18"/>
      <c r="F923" s="18"/>
      <c r="G923" s="18"/>
      <c r="H923" s="58"/>
      <c r="I923" s="21"/>
      <c r="J923" s="22"/>
    </row>
    <row r="924" spans="1:10" ht="13.2" x14ac:dyDescent="0.25">
      <c r="A924" s="17"/>
      <c r="B924" s="17"/>
      <c r="D924" s="18"/>
      <c r="E924" s="18"/>
      <c r="F924" s="18"/>
      <c r="G924" s="18"/>
      <c r="H924" s="58"/>
      <c r="I924" s="21"/>
      <c r="J924" s="22"/>
    </row>
    <row r="925" spans="1:10" ht="13.2" x14ac:dyDescent="0.25">
      <c r="A925" s="17"/>
      <c r="B925" s="17"/>
      <c r="D925" s="18"/>
      <c r="E925" s="18"/>
      <c r="F925" s="18"/>
      <c r="G925" s="18"/>
      <c r="H925" s="58"/>
      <c r="I925" s="21"/>
      <c r="J925" s="22"/>
    </row>
    <row r="926" spans="1:10" ht="13.2" x14ac:dyDescent="0.25">
      <c r="A926" s="17"/>
      <c r="B926" s="17"/>
      <c r="D926" s="18"/>
      <c r="E926" s="18"/>
      <c r="F926" s="18"/>
      <c r="G926" s="18"/>
      <c r="H926" s="58"/>
      <c r="I926" s="21"/>
      <c r="J926" s="22"/>
    </row>
    <row r="927" spans="1:10" ht="13.2" x14ac:dyDescent="0.25">
      <c r="A927" s="17"/>
      <c r="B927" s="17"/>
      <c r="D927" s="18"/>
      <c r="E927" s="18"/>
      <c r="F927" s="18"/>
      <c r="G927" s="18"/>
      <c r="H927" s="58"/>
      <c r="I927" s="21"/>
      <c r="J927" s="22"/>
    </row>
    <row r="928" spans="1:10" ht="13.2" x14ac:dyDescent="0.25">
      <c r="A928" s="17"/>
      <c r="B928" s="17"/>
      <c r="D928" s="18"/>
      <c r="E928" s="18"/>
      <c r="F928" s="18"/>
      <c r="G928" s="18"/>
      <c r="H928" s="58"/>
      <c r="I928" s="21"/>
      <c r="J928" s="22"/>
    </row>
    <row r="929" spans="1:10" ht="13.2" x14ac:dyDescent="0.25">
      <c r="A929" s="17"/>
      <c r="B929" s="17"/>
      <c r="D929" s="18"/>
      <c r="E929" s="18"/>
      <c r="F929" s="18"/>
      <c r="G929" s="18"/>
      <c r="H929" s="58"/>
      <c r="I929" s="21"/>
      <c r="J929" s="22"/>
    </row>
    <row r="930" spans="1:10" ht="13.2" x14ac:dyDescent="0.25">
      <c r="A930" s="17"/>
      <c r="B930" s="17"/>
      <c r="D930" s="18"/>
      <c r="E930" s="18"/>
      <c r="F930" s="18"/>
      <c r="G930" s="18"/>
      <c r="H930" s="58"/>
      <c r="I930" s="21"/>
      <c r="J930" s="22"/>
    </row>
    <row r="931" spans="1:10" ht="13.2" x14ac:dyDescent="0.25">
      <c r="A931" s="17"/>
      <c r="B931" s="17"/>
      <c r="D931" s="18"/>
      <c r="E931" s="18"/>
      <c r="F931" s="18"/>
      <c r="G931" s="18"/>
      <c r="H931" s="58"/>
      <c r="I931" s="21"/>
      <c r="J931" s="22"/>
    </row>
    <row r="932" spans="1:10" ht="13.2" x14ac:dyDescent="0.25">
      <c r="A932" s="17"/>
      <c r="B932" s="17"/>
      <c r="D932" s="18"/>
      <c r="E932" s="18"/>
      <c r="F932" s="18"/>
      <c r="G932" s="18"/>
      <c r="H932" s="58"/>
      <c r="I932" s="21"/>
      <c r="J932" s="22"/>
    </row>
    <row r="933" spans="1:10" ht="13.2" x14ac:dyDescent="0.25">
      <c r="A933" s="17"/>
      <c r="B933" s="17"/>
      <c r="D933" s="18"/>
      <c r="E933" s="18"/>
      <c r="F933" s="18"/>
      <c r="G933" s="18"/>
      <c r="H933" s="58"/>
      <c r="I933" s="21"/>
      <c r="J933" s="22"/>
    </row>
    <row r="934" spans="1:10" ht="13.2" x14ac:dyDescent="0.25">
      <c r="A934" s="17"/>
      <c r="B934" s="17"/>
      <c r="D934" s="18"/>
      <c r="E934" s="18"/>
      <c r="F934" s="18"/>
      <c r="G934" s="18"/>
      <c r="H934" s="58"/>
      <c r="I934" s="21"/>
      <c r="J934" s="22"/>
    </row>
    <row r="935" spans="1:10" ht="13.2" x14ac:dyDescent="0.25">
      <c r="A935" s="17"/>
      <c r="B935" s="17"/>
      <c r="D935" s="18"/>
      <c r="E935" s="18"/>
      <c r="F935" s="18"/>
      <c r="G935" s="18"/>
      <c r="H935" s="58"/>
      <c r="I935" s="21"/>
      <c r="J935" s="22"/>
    </row>
    <row r="936" spans="1:10" ht="13.2" x14ac:dyDescent="0.25">
      <c r="A936" s="17"/>
      <c r="B936" s="17"/>
      <c r="D936" s="18"/>
      <c r="E936" s="18"/>
      <c r="F936" s="18"/>
      <c r="G936" s="18"/>
      <c r="H936" s="58"/>
      <c r="I936" s="21"/>
      <c r="J936" s="22"/>
    </row>
    <row r="937" spans="1:10" ht="13.2" x14ac:dyDescent="0.25">
      <c r="A937" s="17"/>
      <c r="B937" s="17"/>
      <c r="D937" s="18"/>
      <c r="E937" s="18"/>
      <c r="F937" s="18"/>
      <c r="G937" s="18"/>
      <c r="H937" s="58"/>
      <c r="I937" s="21"/>
      <c r="J937" s="22"/>
    </row>
    <row r="938" spans="1:10" ht="13.2" x14ac:dyDescent="0.25">
      <c r="A938" s="17"/>
      <c r="B938" s="17"/>
      <c r="D938" s="18"/>
      <c r="E938" s="18"/>
      <c r="F938" s="18"/>
      <c r="G938" s="18"/>
      <c r="H938" s="58"/>
      <c r="I938" s="21"/>
      <c r="J938" s="22"/>
    </row>
    <row r="939" spans="1:10" ht="13.2" x14ac:dyDescent="0.25">
      <c r="A939" s="17"/>
      <c r="B939" s="17"/>
      <c r="D939" s="18"/>
      <c r="E939" s="18"/>
      <c r="F939" s="18"/>
      <c r="G939" s="18"/>
      <c r="H939" s="58"/>
      <c r="I939" s="21"/>
      <c r="J939" s="22"/>
    </row>
    <row r="940" spans="1:10" ht="13.2" x14ac:dyDescent="0.25">
      <c r="A940" s="17"/>
      <c r="B940" s="17"/>
      <c r="D940" s="18"/>
      <c r="E940" s="18"/>
      <c r="F940" s="18"/>
      <c r="G940" s="18"/>
      <c r="H940" s="58"/>
      <c r="I940" s="21"/>
      <c r="J940" s="22"/>
    </row>
    <row r="941" spans="1:10" ht="13.2" x14ac:dyDescent="0.25">
      <c r="A941" s="17"/>
      <c r="B941" s="17"/>
      <c r="D941" s="18"/>
      <c r="E941" s="18"/>
      <c r="F941" s="18"/>
      <c r="G941" s="18"/>
      <c r="H941" s="58"/>
      <c r="I941" s="21"/>
      <c r="J941" s="22"/>
    </row>
    <row r="942" spans="1:10" ht="13.2" x14ac:dyDescent="0.25">
      <c r="A942" s="17"/>
      <c r="B942" s="17"/>
      <c r="D942" s="18"/>
      <c r="E942" s="18"/>
      <c r="F942" s="18"/>
      <c r="G942" s="18"/>
      <c r="H942" s="58"/>
      <c r="I942" s="21"/>
      <c r="J942" s="22"/>
    </row>
    <row r="943" spans="1:10" ht="13.2" x14ac:dyDescent="0.25">
      <c r="A943" s="17"/>
      <c r="B943" s="17"/>
      <c r="D943" s="18"/>
      <c r="E943" s="18"/>
      <c r="F943" s="18"/>
      <c r="G943" s="18"/>
      <c r="H943" s="58"/>
      <c r="I943" s="21"/>
      <c r="J943" s="22"/>
    </row>
    <row r="944" spans="1:10" ht="13.2" x14ac:dyDescent="0.25">
      <c r="A944" s="17"/>
      <c r="B944" s="17"/>
      <c r="D944" s="18"/>
      <c r="E944" s="18"/>
      <c r="F944" s="18"/>
      <c r="G944" s="18"/>
      <c r="H944" s="58"/>
      <c r="I944" s="21"/>
      <c r="J944" s="22"/>
    </row>
    <row r="945" spans="1:10" ht="13.2" x14ac:dyDescent="0.25">
      <c r="A945" s="17"/>
      <c r="B945" s="17"/>
      <c r="D945" s="18"/>
      <c r="E945" s="18"/>
      <c r="F945" s="18"/>
      <c r="G945" s="18"/>
      <c r="H945" s="58"/>
      <c r="I945" s="21"/>
      <c r="J945" s="22"/>
    </row>
    <row r="946" spans="1:10" ht="13.2" x14ac:dyDescent="0.25">
      <c r="A946" s="17"/>
      <c r="B946" s="17"/>
      <c r="D946" s="18"/>
      <c r="E946" s="18"/>
      <c r="F946" s="18"/>
      <c r="G946" s="18"/>
      <c r="H946" s="58"/>
      <c r="I946" s="21"/>
      <c r="J946" s="22"/>
    </row>
    <row r="947" spans="1:10" ht="13.2" x14ac:dyDescent="0.25">
      <c r="A947" s="17"/>
      <c r="B947" s="17"/>
      <c r="D947" s="18"/>
      <c r="E947" s="18"/>
      <c r="F947" s="18"/>
      <c r="G947" s="18"/>
      <c r="H947" s="58"/>
      <c r="I947" s="21"/>
      <c r="J947" s="22"/>
    </row>
    <row r="948" spans="1:10" ht="13.2" x14ac:dyDescent="0.25">
      <c r="A948" s="17"/>
      <c r="B948" s="17"/>
      <c r="D948" s="18"/>
      <c r="E948" s="18"/>
      <c r="F948" s="18"/>
      <c r="G948" s="18"/>
      <c r="H948" s="58"/>
      <c r="I948" s="21"/>
      <c r="J948" s="22"/>
    </row>
    <row r="949" spans="1:10" ht="13.2" x14ac:dyDescent="0.25">
      <c r="A949" s="17"/>
      <c r="B949" s="17"/>
      <c r="D949" s="18"/>
      <c r="E949" s="18"/>
      <c r="F949" s="18"/>
      <c r="G949" s="18"/>
      <c r="H949" s="58"/>
      <c r="I949" s="21"/>
      <c r="J949" s="22"/>
    </row>
    <row r="950" spans="1:10" ht="13.2" x14ac:dyDescent="0.25">
      <c r="A950" s="17"/>
      <c r="B950" s="17"/>
      <c r="D950" s="18"/>
      <c r="E950" s="18"/>
      <c r="F950" s="18"/>
      <c r="G950" s="18"/>
      <c r="H950" s="58"/>
      <c r="I950" s="21"/>
      <c r="J950" s="22"/>
    </row>
    <row r="951" spans="1:10" ht="13.2" x14ac:dyDescent="0.25">
      <c r="A951" s="17"/>
      <c r="B951" s="17"/>
      <c r="D951" s="18"/>
      <c r="E951" s="18"/>
      <c r="F951" s="18"/>
      <c r="G951" s="18"/>
      <c r="H951" s="58"/>
      <c r="I951" s="21"/>
      <c r="J951" s="22"/>
    </row>
    <row r="952" spans="1:10" ht="13.2" x14ac:dyDescent="0.25">
      <c r="A952" s="17"/>
      <c r="B952" s="17"/>
      <c r="D952" s="18"/>
      <c r="E952" s="18"/>
      <c r="F952" s="18"/>
      <c r="G952" s="18"/>
      <c r="H952" s="58"/>
      <c r="I952" s="21"/>
      <c r="J952" s="22"/>
    </row>
    <row r="953" spans="1:10" ht="13.2" x14ac:dyDescent="0.25">
      <c r="A953" s="17"/>
      <c r="B953" s="17"/>
      <c r="D953" s="18"/>
      <c r="E953" s="18"/>
      <c r="F953" s="18"/>
      <c r="G953" s="18"/>
      <c r="H953" s="58"/>
      <c r="I953" s="21"/>
      <c r="J953" s="22"/>
    </row>
    <row r="954" spans="1:10" ht="13.2" x14ac:dyDescent="0.25">
      <c r="A954" s="17"/>
      <c r="B954" s="17"/>
      <c r="D954" s="18"/>
      <c r="E954" s="18"/>
      <c r="F954" s="18"/>
      <c r="G954" s="18"/>
      <c r="H954" s="58"/>
      <c r="I954" s="21"/>
      <c r="J954" s="22"/>
    </row>
    <row r="955" spans="1:10" ht="13.2" x14ac:dyDescent="0.25">
      <c r="A955" s="17"/>
      <c r="B955" s="17"/>
      <c r="D955" s="18"/>
      <c r="E955" s="18"/>
      <c r="F955" s="18"/>
      <c r="G955" s="18"/>
      <c r="H955" s="58"/>
      <c r="I955" s="21"/>
      <c r="J955" s="22"/>
    </row>
    <row r="956" spans="1:10" ht="13.2" x14ac:dyDescent="0.25">
      <c r="A956" s="17"/>
      <c r="B956" s="17"/>
      <c r="D956" s="18"/>
      <c r="E956" s="18"/>
      <c r="F956" s="18"/>
      <c r="G956" s="18"/>
      <c r="H956" s="58"/>
      <c r="I956" s="21"/>
      <c r="J956" s="22"/>
    </row>
    <row r="957" spans="1:10" ht="13.2" x14ac:dyDescent="0.25">
      <c r="A957" s="17"/>
      <c r="B957" s="17"/>
      <c r="D957" s="18"/>
      <c r="E957" s="18"/>
      <c r="F957" s="18"/>
      <c r="G957" s="18"/>
      <c r="H957" s="58"/>
      <c r="I957" s="21"/>
      <c r="J957" s="22"/>
    </row>
    <row r="958" spans="1:10" ht="13.2" x14ac:dyDescent="0.25">
      <c r="A958" s="17"/>
      <c r="B958" s="17"/>
      <c r="D958" s="18"/>
      <c r="E958" s="18"/>
      <c r="F958" s="18"/>
      <c r="G958" s="18"/>
      <c r="H958" s="58"/>
      <c r="I958" s="21"/>
      <c r="J958" s="22"/>
    </row>
    <row r="959" spans="1:10" ht="13.2" x14ac:dyDescent="0.25">
      <c r="A959" s="17"/>
      <c r="B959" s="17"/>
      <c r="D959" s="18"/>
      <c r="E959" s="18"/>
      <c r="F959" s="18"/>
      <c r="G959" s="18"/>
      <c r="H959" s="58"/>
      <c r="I959" s="21"/>
      <c r="J959" s="22"/>
    </row>
    <row r="960" spans="1:10" ht="13.2" x14ac:dyDescent="0.25">
      <c r="A960" s="17"/>
      <c r="B960" s="17"/>
      <c r="D960" s="18"/>
      <c r="E960" s="18"/>
      <c r="F960" s="18"/>
      <c r="G960" s="18"/>
      <c r="H960" s="58"/>
      <c r="I960" s="21"/>
      <c r="J960" s="22"/>
    </row>
    <row r="961" spans="1:10" ht="13.2" x14ac:dyDescent="0.25">
      <c r="A961" s="17"/>
      <c r="B961" s="17"/>
      <c r="D961" s="18"/>
      <c r="E961" s="18"/>
      <c r="F961" s="18"/>
      <c r="G961" s="18"/>
      <c r="H961" s="58"/>
      <c r="I961" s="21"/>
      <c r="J961" s="22"/>
    </row>
    <row r="962" spans="1:10" ht="13.2" x14ac:dyDescent="0.25">
      <c r="A962" s="17"/>
      <c r="B962" s="17"/>
      <c r="D962" s="18"/>
      <c r="E962" s="18"/>
      <c r="F962" s="18"/>
      <c r="G962" s="18"/>
      <c r="H962" s="58"/>
      <c r="I962" s="21"/>
      <c r="J962" s="22"/>
    </row>
    <row r="963" spans="1:10" ht="13.2" x14ac:dyDescent="0.25">
      <c r="A963" s="17"/>
      <c r="B963" s="17"/>
      <c r="D963" s="18"/>
      <c r="E963" s="18"/>
      <c r="F963" s="18"/>
      <c r="G963" s="18"/>
      <c r="H963" s="58"/>
      <c r="I963" s="21"/>
      <c r="J963" s="22"/>
    </row>
    <row r="964" spans="1:10" ht="13.2" x14ac:dyDescent="0.25">
      <c r="A964" s="17"/>
      <c r="B964" s="17"/>
      <c r="D964" s="18"/>
      <c r="E964" s="18"/>
      <c r="F964" s="18"/>
      <c r="G964" s="18"/>
      <c r="H964" s="58"/>
      <c r="I964" s="21"/>
      <c r="J964" s="22"/>
    </row>
    <row r="965" spans="1:10" ht="13.2" x14ac:dyDescent="0.25">
      <c r="A965" s="17"/>
      <c r="B965" s="17"/>
      <c r="D965" s="18"/>
      <c r="E965" s="18"/>
      <c r="F965" s="18"/>
      <c r="G965" s="18"/>
      <c r="H965" s="58"/>
      <c r="I965" s="21"/>
      <c r="J965" s="22"/>
    </row>
    <row r="966" spans="1:10" ht="13.2" x14ac:dyDescent="0.25">
      <c r="A966" s="17"/>
      <c r="B966" s="17"/>
      <c r="D966" s="18"/>
      <c r="E966" s="18"/>
      <c r="F966" s="18"/>
      <c r="G966" s="18"/>
      <c r="H966" s="58"/>
      <c r="I966" s="21"/>
      <c r="J966" s="22"/>
    </row>
    <row r="967" spans="1:10" ht="13.2" x14ac:dyDescent="0.25">
      <c r="A967" s="17"/>
      <c r="B967" s="17"/>
      <c r="D967" s="18"/>
      <c r="E967" s="18"/>
      <c r="F967" s="18"/>
      <c r="G967" s="18"/>
      <c r="H967" s="58"/>
      <c r="I967" s="21"/>
      <c r="J967" s="22"/>
    </row>
    <row r="968" spans="1:10" ht="13.2" x14ac:dyDescent="0.25">
      <c r="A968" s="17"/>
      <c r="B968" s="17"/>
      <c r="D968" s="18"/>
      <c r="E968" s="18"/>
      <c r="F968" s="18"/>
      <c r="G968" s="18"/>
      <c r="H968" s="58"/>
      <c r="I968" s="21"/>
      <c r="J968" s="22"/>
    </row>
    <row r="969" spans="1:10" ht="13.2" x14ac:dyDescent="0.25">
      <c r="A969" s="17"/>
      <c r="B969" s="17"/>
      <c r="D969" s="18"/>
      <c r="E969" s="18"/>
      <c r="F969" s="18"/>
      <c r="G969" s="18"/>
      <c r="H969" s="58"/>
      <c r="I969" s="21"/>
      <c r="J969" s="22"/>
    </row>
    <row r="970" spans="1:10" ht="13.2" x14ac:dyDescent="0.25">
      <c r="A970" s="17"/>
      <c r="B970" s="17"/>
      <c r="D970" s="18"/>
      <c r="E970" s="18"/>
      <c r="F970" s="18"/>
      <c r="G970" s="18"/>
      <c r="H970" s="58"/>
      <c r="I970" s="21"/>
      <c r="J970" s="22"/>
    </row>
    <row r="971" spans="1:10" ht="13.2" x14ac:dyDescent="0.25">
      <c r="A971" s="17"/>
      <c r="B971" s="17"/>
      <c r="D971" s="18"/>
      <c r="E971" s="18"/>
      <c r="F971" s="18"/>
      <c r="G971" s="18"/>
      <c r="H971" s="58"/>
      <c r="I971" s="21"/>
      <c r="J971" s="22"/>
    </row>
    <row r="972" spans="1:10" ht="13.2" x14ac:dyDescent="0.25">
      <c r="A972" s="17"/>
      <c r="B972" s="17"/>
      <c r="D972" s="18"/>
      <c r="E972" s="18"/>
      <c r="F972" s="18"/>
      <c r="G972" s="18"/>
      <c r="H972" s="58"/>
      <c r="I972" s="21"/>
      <c r="J972" s="22"/>
    </row>
    <row r="973" spans="1:10" ht="13.2" x14ac:dyDescent="0.25">
      <c r="A973" s="17"/>
      <c r="B973" s="17"/>
      <c r="D973" s="18"/>
      <c r="E973" s="18"/>
      <c r="F973" s="18"/>
      <c r="G973" s="18"/>
      <c r="H973" s="58"/>
      <c r="I973" s="21"/>
      <c r="J973" s="22"/>
    </row>
    <row r="974" spans="1:10" ht="13.2" x14ac:dyDescent="0.25">
      <c r="A974" s="17"/>
      <c r="B974" s="17"/>
      <c r="D974" s="18"/>
      <c r="E974" s="18"/>
      <c r="F974" s="18"/>
      <c r="G974" s="18"/>
      <c r="H974" s="58"/>
      <c r="I974" s="21"/>
      <c r="J974" s="22"/>
    </row>
    <row r="975" spans="1:10" ht="13.2" x14ac:dyDescent="0.25">
      <c r="A975" s="17"/>
      <c r="B975" s="17"/>
      <c r="D975" s="18"/>
      <c r="E975" s="18"/>
      <c r="F975" s="18"/>
      <c r="G975" s="18"/>
      <c r="H975" s="58"/>
      <c r="I975" s="21"/>
      <c r="J975" s="22"/>
    </row>
    <row r="976" spans="1:10" ht="13.2" x14ac:dyDescent="0.25">
      <c r="A976" s="17"/>
      <c r="B976" s="17"/>
      <c r="D976" s="18"/>
      <c r="E976" s="18"/>
      <c r="F976" s="18"/>
      <c r="G976" s="18"/>
      <c r="H976" s="58"/>
      <c r="I976" s="21"/>
      <c r="J976" s="22"/>
    </row>
    <row r="977" spans="1:10" ht="13.2" x14ac:dyDescent="0.25">
      <c r="A977" s="17"/>
      <c r="B977" s="17"/>
      <c r="D977" s="18"/>
      <c r="E977" s="18"/>
      <c r="F977" s="18"/>
      <c r="G977" s="18"/>
      <c r="H977" s="58"/>
      <c r="I977" s="21"/>
      <c r="J977" s="22"/>
    </row>
    <row r="978" spans="1:10" ht="13.2" x14ac:dyDescent="0.25">
      <c r="A978" s="17"/>
      <c r="B978" s="17"/>
      <c r="D978" s="18"/>
      <c r="E978" s="18"/>
      <c r="F978" s="18"/>
      <c r="G978" s="18"/>
      <c r="H978" s="58"/>
      <c r="I978" s="21"/>
      <c r="J978" s="22"/>
    </row>
    <row r="979" spans="1:10" ht="13.2" x14ac:dyDescent="0.25">
      <c r="A979" s="17"/>
      <c r="B979" s="17"/>
      <c r="D979" s="18"/>
      <c r="E979" s="18"/>
      <c r="F979" s="18"/>
      <c r="G979" s="18"/>
      <c r="H979" s="58"/>
      <c r="I979" s="21"/>
      <c r="J979" s="22"/>
    </row>
    <row r="980" spans="1:10" ht="13.2" x14ac:dyDescent="0.25">
      <c r="A980" s="17"/>
      <c r="B980" s="17"/>
      <c r="D980" s="18"/>
      <c r="E980" s="18"/>
      <c r="F980" s="18"/>
      <c r="G980" s="18"/>
      <c r="H980" s="58"/>
      <c r="I980" s="21"/>
      <c r="J980" s="22"/>
    </row>
    <row r="981" spans="1:10" ht="13.2" x14ac:dyDescent="0.25">
      <c r="A981" s="17"/>
      <c r="B981" s="17"/>
      <c r="D981" s="18"/>
      <c r="E981" s="18"/>
      <c r="F981" s="18"/>
      <c r="G981" s="18"/>
      <c r="H981" s="58"/>
      <c r="I981" s="21"/>
      <c r="J981" s="22"/>
    </row>
    <row r="982" spans="1:10" ht="13.2" x14ac:dyDescent="0.25">
      <c r="A982" s="17"/>
      <c r="B982" s="17"/>
      <c r="D982" s="18"/>
      <c r="E982" s="18"/>
      <c r="F982" s="18"/>
      <c r="G982" s="18"/>
      <c r="H982" s="58"/>
      <c r="I982" s="21"/>
      <c r="J982" s="22"/>
    </row>
    <row r="983" spans="1:10" ht="13.2" x14ac:dyDescent="0.25">
      <c r="A983" s="17"/>
      <c r="B983" s="17"/>
      <c r="D983" s="18"/>
      <c r="E983" s="18"/>
      <c r="F983" s="18"/>
      <c r="G983" s="18"/>
      <c r="H983" s="58"/>
      <c r="I983" s="21"/>
      <c r="J983" s="22"/>
    </row>
    <row r="984" spans="1:10" ht="13.2" x14ac:dyDescent="0.25">
      <c r="A984" s="17"/>
      <c r="B984" s="17"/>
      <c r="D984" s="18"/>
      <c r="E984" s="18"/>
      <c r="F984" s="18"/>
      <c r="G984" s="18"/>
      <c r="H984" s="58"/>
      <c r="I984" s="21"/>
      <c r="J984" s="22"/>
    </row>
    <row r="985" spans="1:10" ht="13.2" x14ac:dyDescent="0.25">
      <c r="A985" s="17"/>
      <c r="B985" s="17"/>
      <c r="D985" s="18"/>
      <c r="E985" s="18"/>
      <c r="F985" s="18"/>
      <c r="G985" s="18"/>
      <c r="H985" s="58"/>
      <c r="I985" s="21"/>
      <c r="J985" s="22"/>
    </row>
    <row r="986" spans="1:10" ht="13.2" x14ac:dyDescent="0.25">
      <c r="A986" s="17"/>
      <c r="B986" s="17"/>
      <c r="D986" s="18"/>
      <c r="E986" s="18"/>
      <c r="F986" s="18"/>
      <c r="G986" s="18"/>
      <c r="H986" s="58"/>
      <c r="I986" s="21"/>
      <c r="J986" s="22"/>
    </row>
    <row r="987" spans="1:10" ht="13.2" x14ac:dyDescent="0.25">
      <c r="A987" s="17"/>
      <c r="B987" s="17"/>
      <c r="D987" s="18"/>
      <c r="E987" s="18"/>
      <c r="F987" s="18"/>
      <c r="G987" s="18"/>
      <c r="H987" s="58"/>
      <c r="I987" s="21"/>
      <c r="J987" s="22"/>
    </row>
    <row r="988" spans="1:10" ht="13.2" x14ac:dyDescent="0.25">
      <c r="A988" s="17"/>
      <c r="B988" s="17"/>
      <c r="D988" s="18"/>
      <c r="E988" s="18"/>
      <c r="F988" s="18"/>
      <c r="G988" s="18"/>
      <c r="H988" s="58"/>
      <c r="I988" s="21"/>
      <c r="J988" s="22"/>
    </row>
    <row r="989" spans="1:10" ht="13.2" x14ac:dyDescent="0.25">
      <c r="A989" s="17"/>
      <c r="B989" s="17"/>
      <c r="D989" s="18"/>
      <c r="E989" s="18"/>
      <c r="F989" s="18"/>
      <c r="G989" s="18"/>
      <c r="H989" s="58"/>
      <c r="I989" s="21"/>
      <c r="J989" s="22"/>
    </row>
    <row r="990" spans="1:10" ht="13.2" x14ac:dyDescent="0.25">
      <c r="A990" s="17"/>
      <c r="B990" s="17"/>
      <c r="D990" s="18"/>
      <c r="E990" s="18"/>
      <c r="F990" s="18"/>
      <c r="G990" s="18"/>
      <c r="H990" s="58"/>
      <c r="I990" s="21"/>
      <c r="J990" s="22"/>
    </row>
    <row r="991" spans="1:10" ht="13.2" x14ac:dyDescent="0.25">
      <c r="A991" s="17"/>
      <c r="B991" s="17"/>
      <c r="D991" s="18"/>
      <c r="E991" s="18"/>
      <c r="F991" s="18"/>
      <c r="G991" s="18"/>
      <c r="H991" s="58"/>
      <c r="I991" s="21"/>
      <c r="J991" s="22"/>
    </row>
    <row r="992" spans="1:10" ht="13.2" x14ac:dyDescent="0.25">
      <c r="A992" s="17"/>
      <c r="B992" s="17"/>
      <c r="D992" s="18"/>
      <c r="E992" s="18"/>
      <c r="F992" s="18"/>
      <c r="G992" s="18"/>
      <c r="H992" s="58"/>
      <c r="I992" s="21"/>
      <c r="J992" s="22"/>
    </row>
    <row r="993" spans="1:10" ht="13.2" x14ac:dyDescent="0.25">
      <c r="A993" s="17"/>
      <c r="B993" s="17"/>
      <c r="D993" s="18"/>
      <c r="E993" s="18"/>
      <c r="F993" s="18"/>
      <c r="G993" s="18"/>
      <c r="H993" s="58"/>
      <c r="I993" s="21"/>
      <c r="J993" s="22"/>
    </row>
    <row r="994" spans="1:10" ht="13.2" x14ac:dyDescent="0.25">
      <c r="A994" s="17"/>
      <c r="B994" s="17"/>
      <c r="D994" s="18"/>
      <c r="E994" s="18"/>
      <c r="F994" s="18"/>
      <c r="G994" s="18"/>
      <c r="H994" s="58"/>
      <c r="I994" s="21"/>
      <c r="J994" s="22"/>
    </row>
    <row r="995" spans="1:10" ht="13.2" x14ac:dyDescent="0.25">
      <c r="A995" s="17"/>
      <c r="B995" s="17"/>
      <c r="D995" s="18"/>
      <c r="E995" s="18"/>
      <c r="F995" s="18"/>
      <c r="G995" s="18"/>
      <c r="H995" s="58"/>
      <c r="I995" s="21"/>
      <c r="J995" s="22"/>
    </row>
    <row r="996" spans="1:10" ht="13.2" x14ac:dyDescent="0.25">
      <c r="A996" s="17"/>
      <c r="B996" s="17"/>
      <c r="D996" s="18"/>
      <c r="E996" s="18"/>
      <c r="F996" s="18"/>
      <c r="G996" s="18"/>
      <c r="H996" s="58"/>
      <c r="I996" s="21"/>
      <c r="J996" s="22"/>
    </row>
    <row r="997" spans="1:10" ht="13.2" x14ac:dyDescent="0.25">
      <c r="A997" s="17"/>
      <c r="B997" s="17"/>
      <c r="D997" s="18"/>
      <c r="E997" s="18"/>
      <c r="F997" s="18"/>
      <c r="G997" s="18"/>
      <c r="H997" s="58"/>
      <c r="I997" s="21"/>
      <c r="J997" s="22"/>
    </row>
    <row r="998" spans="1:10" ht="13.2" x14ac:dyDescent="0.25">
      <c r="A998" s="17"/>
      <c r="B998" s="17"/>
      <c r="D998" s="18"/>
      <c r="E998" s="18"/>
      <c r="F998" s="18"/>
      <c r="G998" s="18"/>
      <c r="H998" s="58"/>
      <c r="I998" s="21"/>
      <c r="J998" s="22"/>
    </row>
    <row r="999" spans="1:10" ht="13.2" x14ac:dyDescent="0.25">
      <c r="A999" s="17"/>
      <c r="B999" s="17"/>
      <c r="D999" s="18"/>
      <c r="E999" s="18"/>
      <c r="F999" s="18"/>
      <c r="G999" s="18"/>
      <c r="H999" s="58"/>
      <c r="I999" s="21"/>
      <c r="J999" s="22"/>
    </row>
    <row r="1000" spans="1:10" ht="13.2" x14ac:dyDescent="0.25">
      <c r="A1000" s="17"/>
      <c r="B1000" s="17"/>
      <c r="D1000" s="18"/>
      <c r="E1000" s="18"/>
      <c r="F1000" s="18"/>
      <c r="G1000" s="18"/>
      <c r="H1000" s="58"/>
      <c r="I1000" s="21"/>
      <c r="J1000" s="22"/>
    </row>
    <row r="1001" spans="1:10" ht="13.2" x14ac:dyDescent="0.25">
      <c r="A1001" s="17"/>
      <c r="B1001" s="17"/>
      <c r="D1001" s="18"/>
      <c r="E1001" s="18"/>
      <c r="F1001" s="18"/>
      <c r="G1001" s="18"/>
      <c r="H1001" s="58"/>
      <c r="I1001" s="21"/>
      <c r="J1001" s="22"/>
    </row>
    <row r="1002" spans="1:10" ht="13.2" x14ac:dyDescent="0.25">
      <c r="A1002" s="17"/>
      <c r="B1002" s="17"/>
      <c r="D1002" s="18"/>
      <c r="E1002" s="18"/>
      <c r="F1002" s="18"/>
      <c r="G1002" s="18"/>
      <c r="H1002" s="58"/>
      <c r="I1002" s="21"/>
      <c r="J1002" s="22"/>
    </row>
    <row r="1003" spans="1:10" ht="13.2" x14ac:dyDescent="0.25">
      <c r="A1003" s="17"/>
      <c r="B1003" s="17"/>
      <c r="D1003" s="18"/>
      <c r="E1003" s="18"/>
      <c r="F1003" s="18"/>
      <c r="G1003" s="18"/>
      <c r="H1003" s="58"/>
      <c r="I1003" s="21"/>
      <c r="J1003" s="22"/>
    </row>
    <row r="1004" spans="1:10" ht="13.2" x14ac:dyDescent="0.25">
      <c r="A1004" s="17"/>
      <c r="B1004" s="17"/>
      <c r="D1004" s="18"/>
      <c r="E1004" s="18"/>
      <c r="F1004" s="18"/>
      <c r="G1004" s="18"/>
      <c r="H1004" s="58"/>
      <c r="I1004" s="21"/>
      <c r="J1004" s="22"/>
    </row>
    <row r="1005" spans="1:10" ht="13.2" x14ac:dyDescent="0.25">
      <c r="A1005" s="17"/>
      <c r="B1005" s="17"/>
      <c r="D1005" s="18"/>
      <c r="E1005" s="18"/>
      <c r="F1005" s="18"/>
      <c r="G1005" s="18"/>
      <c r="H1005" s="58"/>
      <c r="I1005" s="21"/>
      <c r="J1005" s="22"/>
    </row>
    <row r="1006" spans="1:10" ht="13.2" x14ac:dyDescent="0.25">
      <c r="A1006" s="17"/>
      <c r="B1006" s="17"/>
      <c r="D1006" s="18"/>
      <c r="E1006" s="18"/>
      <c r="F1006" s="18"/>
      <c r="G1006" s="18"/>
      <c r="H1006" s="58"/>
      <c r="I1006" s="21"/>
      <c r="J1006" s="22"/>
    </row>
    <row r="1007" spans="1:10" ht="13.2" x14ac:dyDescent="0.25">
      <c r="A1007" s="17"/>
      <c r="B1007" s="17"/>
      <c r="D1007" s="18"/>
      <c r="E1007" s="18"/>
      <c r="F1007" s="18"/>
      <c r="G1007" s="18"/>
      <c r="H1007" s="58"/>
      <c r="I1007" s="21"/>
      <c r="J1007" s="22"/>
    </row>
    <row r="1008" spans="1:10" ht="13.2" x14ac:dyDescent="0.25">
      <c r="A1008" s="17"/>
      <c r="B1008" s="17"/>
      <c r="D1008" s="18"/>
      <c r="E1008" s="18"/>
      <c r="F1008" s="18"/>
      <c r="G1008" s="18"/>
      <c r="H1008" s="58"/>
      <c r="I1008" s="21"/>
      <c r="J1008" s="22"/>
    </row>
    <row r="1009" spans="1:10" ht="13.2" x14ac:dyDescent="0.25">
      <c r="A1009" s="17"/>
      <c r="B1009" s="17"/>
      <c r="D1009" s="18"/>
      <c r="E1009" s="18"/>
      <c r="F1009" s="18"/>
      <c r="G1009" s="18"/>
      <c r="H1009" s="58"/>
      <c r="I1009" s="21"/>
      <c r="J1009" s="22"/>
    </row>
    <row r="1010" spans="1:10" ht="13.2" x14ac:dyDescent="0.25">
      <c r="A1010" s="17"/>
      <c r="B1010" s="17"/>
      <c r="D1010" s="18"/>
      <c r="E1010" s="18"/>
      <c r="F1010" s="18"/>
      <c r="G1010" s="18"/>
      <c r="H1010" s="58"/>
      <c r="I1010" s="21"/>
      <c r="J1010" s="22"/>
    </row>
    <row r="1011" spans="1:10" ht="13.2" x14ac:dyDescent="0.25">
      <c r="A1011" s="17"/>
      <c r="B1011" s="17"/>
      <c r="D1011" s="18"/>
      <c r="E1011" s="18"/>
      <c r="F1011" s="18"/>
      <c r="G1011" s="18"/>
      <c r="H1011" s="58"/>
      <c r="I1011" s="21"/>
      <c r="J1011" s="22"/>
    </row>
    <row r="1012" spans="1:10" ht="13.2" x14ac:dyDescent="0.25">
      <c r="A1012" s="17"/>
      <c r="B1012" s="17"/>
      <c r="D1012" s="18"/>
      <c r="E1012" s="18"/>
      <c r="F1012" s="18"/>
      <c r="G1012" s="18"/>
      <c r="H1012" s="58"/>
      <c r="I1012" s="21"/>
      <c r="J1012" s="22"/>
    </row>
    <row r="1013" spans="1:10" ht="13.2" x14ac:dyDescent="0.25">
      <c r="A1013" s="17"/>
      <c r="B1013" s="17"/>
      <c r="D1013" s="18"/>
      <c r="E1013" s="18"/>
      <c r="F1013" s="18"/>
      <c r="G1013" s="18"/>
      <c r="H1013" s="58"/>
      <c r="I1013" s="21"/>
      <c r="J1013" s="22"/>
    </row>
    <row r="1014" spans="1:10" ht="13.2" x14ac:dyDescent="0.25">
      <c r="A1014" s="17"/>
      <c r="B1014" s="17"/>
      <c r="D1014" s="18"/>
      <c r="E1014" s="18"/>
      <c r="F1014" s="18"/>
      <c r="G1014" s="18"/>
      <c r="H1014" s="58"/>
      <c r="I1014" s="21"/>
      <c r="J1014" s="22"/>
    </row>
    <row r="1015" spans="1:10" ht="13.2" x14ac:dyDescent="0.25">
      <c r="A1015" s="17"/>
      <c r="B1015" s="17"/>
      <c r="D1015" s="18"/>
      <c r="E1015" s="18"/>
      <c r="F1015" s="18"/>
      <c r="G1015" s="18"/>
      <c r="H1015" s="58"/>
      <c r="I1015" s="21"/>
      <c r="J1015" s="22"/>
    </row>
    <row r="1016" spans="1:10" ht="13.2" x14ac:dyDescent="0.25">
      <c r="A1016" s="17"/>
      <c r="B1016" s="17"/>
      <c r="D1016" s="18"/>
      <c r="E1016" s="18"/>
      <c r="F1016" s="18"/>
      <c r="G1016" s="18"/>
      <c r="H1016" s="58"/>
      <c r="I1016" s="21"/>
      <c r="J1016" s="22"/>
    </row>
    <row r="1017" spans="1:10" ht="13.2" x14ac:dyDescent="0.25">
      <c r="A1017" s="17"/>
      <c r="B1017" s="17"/>
      <c r="D1017" s="18"/>
      <c r="E1017" s="18"/>
      <c r="F1017" s="18"/>
      <c r="G1017" s="18"/>
      <c r="H1017" s="58"/>
      <c r="I1017" s="21"/>
      <c r="J1017" s="22"/>
    </row>
    <row r="1018" spans="1:10" ht="13.2" x14ac:dyDescent="0.25">
      <c r="A1018" s="17"/>
      <c r="B1018" s="17"/>
      <c r="D1018" s="18"/>
      <c r="E1018" s="18"/>
      <c r="F1018" s="18"/>
      <c r="G1018" s="18"/>
      <c r="H1018" s="58"/>
      <c r="I1018" s="21"/>
      <c r="J1018" s="22"/>
    </row>
    <row r="1019" spans="1:10" ht="13.2" x14ac:dyDescent="0.25">
      <c r="A1019" s="17"/>
      <c r="B1019" s="17"/>
      <c r="D1019" s="18"/>
      <c r="E1019" s="18"/>
      <c r="F1019" s="18"/>
      <c r="G1019" s="18"/>
      <c r="H1019" s="58"/>
      <c r="I1019" s="21"/>
      <c r="J1019" s="22"/>
    </row>
    <row r="1020" spans="1:10" ht="13.2" x14ac:dyDescent="0.25">
      <c r="A1020" s="17"/>
      <c r="B1020" s="17"/>
      <c r="D1020" s="18"/>
      <c r="E1020" s="18"/>
      <c r="F1020" s="18"/>
      <c r="G1020" s="18"/>
      <c r="H1020" s="58"/>
      <c r="I1020" s="21"/>
      <c r="J1020" s="22"/>
    </row>
    <row r="1021" spans="1:10" ht="13.2" x14ac:dyDescent="0.25">
      <c r="A1021" s="17"/>
      <c r="B1021" s="17"/>
      <c r="D1021" s="18"/>
      <c r="E1021" s="18"/>
      <c r="F1021" s="18"/>
      <c r="G1021" s="18"/>
      <c r="H1021" s="58"/>
      <c r="I1021" s="21"/>
      <c r="J1021" s="22"/>
    </row>
    <row r="1022" spans="1:10" ht="13.2" x14ac:dyDescent="0.25">
      <c r="A1022" s="17"/>
      <c r="B1022" s="17"/>
      <c r="D1022" s="18"/>
      <c r="E1022" s="18"/>
      <c r="F1022" s="18"/>
      <c r="G1022" s="18"/>
      <c r="H1022" s="58"/>
      <c r="I1022" s="21"/>
      <c r="J1022" s="22"/>
    </row>
    <row r="1023" spans="1:10" ht="13.2" x14ac:dyDescent="0.25">
      <c r="A1023" s="17"/>
      <c r="B1023" s="17"/>
      <c r="D1023" s="18"/>
      <c r="E1023" s="18"/>
      <c r="F1023" s="18"/>
      <c r="G1023" s="18"/>
      <c r="H1023" s="58"/>
      <c r="I1023" s="21"/>
      <c r="J1023" s="22"/>
    </row>
    <row r="1024" spans="1:10" ht="13.2" x14ac:dyDescent="0.25">
      <c r="A1024" s="17"/>
      <c r="B1024" s="17"/>
      <c r="D1024" s="18"/>
      <c r="E1024" s="18"/>
      <c r="F1024" s="18"/>
      <c r="G1024" s="18"/>
      <c r="H1024" s="58"/>
      <c r="I1024" s="21"/>
      <c r="J1024" s="22"/>
    </row>
  </sheetData>
  <mergeCells count="25">
    <mergeCell ref="B180:G180"/>
    <mergeCell ref="B188:G188"/>
    <mergeCell ref="B196:G196"/>
    <mergeCell ref="B116:G116"/>
    <mergeCell ref="B124:G124"/>
    <mergeCell ref="B132:G132"/>
    <mergeCell ref="B140:G140"/>
    <mergeCell ref="B148:H148"/>
    <mergeCell ref="B156:G156"/>
    <mergeCell ref="B164:G164"/>
    <mergeCell ref="B84:G84"/>
    <mergeCell ref="B92:G92"/>
    <mergeCell ref="B100:G100"/>
    <mergeCell ref="B108:G108"/>
    <mergeCell ref="B172:G172"/>
    <mergeCell ref="B44:G44"/>
    <mergeCell ref="B52:G52"/>
    <mergeCell ref="B60:G60"/>
    <mergeCell ref="B68:G68"/>
    <mergeCell ref="B76:G76"/>
    <mergeCell ref="B4:G4"/>
    <mergeCell ref="B12:G12"/>
    <mergeCell ref="B20:G20"/>
    <mergeCell ref="B28:G28"/>
    <mergeCell ref="B36:G36"/>
  </mergeCells>
  <conditionalFormatting sqref="L13">
    <cfRule type="notContainsBlanks" dxfId="6" priority="1">
      <formula>LEN(TRIM(L13))&gt;0</formula>
    </cfRule>
  </conditionalFormatting>
  <dataValidations count="2">
    <dataValidation type="custom" allowBlank="1" showDropDown="1" showInputMessage="1" showErrorMessage="1" prompt="Csak egy 1,23 formátumú szám, vagy a -, x, X jelek lehetnek ebben a cellában!" sqref="E5:G9 E13:G17 E21:G25 E29:G33 E37:G41 E45:G49 E53:G57 E61:G65 E69:G73 E77:G81 E85:G89 E93:G97 E109:G113 E117:G121 E125:G129 E133:G137 E141:G145 E149:G153 E157:G161 E165:G169 E173:G177 E181:G185 E189:G193 E197:G201" xr:uid="{00000000-0002-0000-0100-000000000000}">
      <formula1>REGEXMATCH(E5,"^\d{1,1},\d{2}$|^x$|^X$|^-$")</formula1>
    </dataValidation>
    <dataValidation type="custom" allowBlank="1" showDropDown="1" showInputMessage="1" showErrorMessage="1" prompt="Ebbe a cellába csak 2011 és 2014 közötti értéket kell megadni!" sqref="D5:D9 D13:D17 D21:D25 D29:D33 D37:D41 D45:D49 D53:D57 D61:D65 D69:D73 D77:D81 D85:D89 D93:D97 D101:D105 D109:D113 D117:D121 D125:D129 D133:D137 D141:D145 D149:D153 D157:D161 D165:D169 D173:D177 D181:D185 D189:D193 D197:D201" xr:uid="{00000000-0002-0000-0100-000001000000}">
      <formula1>OR(D5 = "2011", D5="2012",  D5="2013", D5="2014")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headerFooter>
    <oddHeader>&amp;C2025/2026. TANÉVI ATLÉTIKA ÜCSB DIÁKOLIMPIA&amp;RVÁRMEGYEI JEGYZŐKÖNYV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73763"/>
    <outlinePr summaryBelow="0" summaryRight="0"/>
    <pageSetUpPr fitToPage="1"/>
  </sheetPr>
  <dimension ref="A1:AA1024"/>
  <sheetViews>
    <sheetView workbookViewId="0">
      <pane ySplit="3" topLeftCell="A4" activePane="bottomLeft" state="frozen"/>
      <selection pane="bottomLeft" activeCell="B5" sqref="B5"/>
    </sheetView>
  </sheetViews>
  <sheetFormatPr defaultColWidth="12.6640625" defaultRowHeight="15.75" customHeight="1" x14ac:dyDescent="0.25"/>
  <cols>
    <col min="1" max="1" width="4.21875" customWidth="1"/>
    <col min="2" max="2" width="3.21875" customWidth="1"/>
    <col min="3" max="3" width="22.44140625" customWidth="1"/>
    <col min="4" max="4" width="6.44140625" customWidth="1"/>
    <col min="5" max="7" width="7.109375" customWidth="1"/>
    <col min="8" max="8" width="6.88671875" customWidth="1"/>
    <col min="10" max="10" width="8.21875" customWidth="1"/>
  </cols>
  <sheetData>
    <row r="1" spans="1:27" ht="25.8" x14ac:dyDescent="0.8">
      <c r="A1" s="1" t="s">
        <v>219</v>
      </c>
      <c r="B1" s="2"/>
      <c r="C1" s="3"/>
      <c r="D1" s="4"/>
      <c r="E1" s="5"/>
      <c r="F1" s="5"/>
      <c r="G1" s="5"/>
      <c r="H1" s="55"/>
      <c r="I1" s="56"/>
      <c r="J1" s="8"/>
    </row>
    <row r="2" spans="1:27" ht="16.2" x14ac:dyDescent="0.5">
      <c r="A2" s="9" t="s">
        <v>1</v>
      </c>
      <c r="B2" s="9" t="s">
        <v>2</v>
      </c>
      <c r="C2" s="11"/>
      <c r="D2" s="12" t="s">
        <v>3</v>
      </c>
      <c r="E2" s="12" t="s">
        <v>74</v>
      </c>
      <c r="F2" s="12" t="s">
        <v>75</v>
      </c>
      <c r="G2" s="12" t="s">
        <v>76</v>
      </c>
      <c r="H2" s="57" t="s">
        <v>77</v>
      </c>
      <c r="I2" s="14" t="s">
        <v>6</v>
      </c>
      <c r="J2" s="15" t="s">
        <v>7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13.2" x14ac:dyDescent="0.25">
      <c r="A3" s="17"/>
      <c r="B3" s="17"/>
      <c r="D3" s="18"/>
      <c r="E3" s="18"/>
      <c r="F3" s="18"/>
      <c r="G3" s="18"/>
      <c r="H3" s="58"/>
      <c r="I3" s="21"/>
      <c r="J3" s="22"/>
    </row>
    <row r="4" spans="1:27" ht="15.6" x14ac:dyDescent="0.25">
      <c r="A4" s="23">
        <v>1</v>
      </c>
      <c r="B4" s="97" t="s">
        <v>29</v>
      </c>
      <c r="C4" s="98"/>
      <c r="D4" s="98"/>
      <c r="E4" s="98"/>
      <c r="F4" s="98"/>
      <c r="G4" s="99"/>
      <c r="H4" s="59"/>
      <c r="I4" s="25">
        <f ca="1">IF(COUNTIFS(H5:H9,"&gt;0") &gt; 3, FLOOR((SUM(H5:H9)-MIN(H5,H6,H7,H8,H9))/4,0.0001), )</f>
        <v>10.16</v>
      </c>
      <c r="J4" s="26">
        <f ca="1">IF(I4=0,"",RANK(I4,$I$4:$I$224,))</f>
        <v>1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8.75" customHeight="1" x14ac:dyDescent="0.25">
      <c r="A5" s="17"/>
      <c r="B5" s="28">
        <v>1</v>
      </c>
      <c r="C5" s="29" t="s">
        <v>220</v>
      </c>
      <c r="D5" s="30" t="s">
        <v>10</v>
      </c>
      <c r="E5" s="60" t="s">
        <v>221</v>
      </c>
      <c r="F5" s="60" t="s">
        <v>222</v>
      </c>
      <c r="G5" s="60" t="s">
        <v>223</v>
      </c>
      <c r="H5" s="61">
        <f ca="1">IFERROR(__xludf.DUMMYFUNCTION("MAX(IF(REGEXMATCH(E5,""^\d{1,2},\d{2}$""),VALUE(E5),0),IF(REGEXMATCH(F5,""^\d{1,2},\d{2}$""),VALUE(F5),0),IF(REGEXMATCH(G5,""^\d{1,2},\d{2}$""),VALUE(G5),0))"),9.89)</f>
        <v>9.89</v>
      </c>
      <c r="I5" s="21"/>
      <c r="J5" s="22"/>
    </row>
    <row r="6" spans="1:27" ht="18.75" customHeight="1" x14ac:dyDescent="0.25">
      <c r="A6" s="17"/>
      <c r="B6" s="28">
        <v>2</v>
      </c>
      <c r="C6" s="29" t="s">
        <v>224</v>
      </c>
      <c r="D6" s="30" t="s">
        <v>10</v>
      </c>
      <c r="E6" s="60" t="s">
        <v>225</v>
      </c>
      <c r="F6" s="60" t="s">
        <v>226</v>
      </c>
      <c r="G6" s="60" t="s">
        <v>227</v>
      </c>
      <c r="H6" s="61">
        <f ca="1">IFERROR(__xludf.DUMMYFUNCTION("MAX(IF(REGEXMATCH(E6,""^\d{1,2},\d{2}$""),VALUE(E6),0),IF(REGEXMATCH(F6,""^\d{1,2},\d{2}$""),VALUE(F6),0),IF(REGEXMATCH(G6,""^\d{1,2},\d{2}$""),VALUE(G6),0))"),10.67)</f>
        <v>10.67</v>
      </c>
      <c r="I6" s="21"/>
      <c r="J6" s="22"/>
    </row>
    <row r="7" spans="1:27" ht="18.75" customHeight="1" x14ac:dyDescent="0.25">
      <c r="A7" s="17"/>
      <c r="B7" s="28">
        <v>3</v>
      </c>
      <c r="C7" s="29" t="s">
        <v>32</v>
      </c>
      <c r="D7" s="30" t="s">
        <v>10</v>
      </c>
      <c r="E7" s="60" t="s">
        <v>228</v>
      </c>
      <c r="F7" s="60" t="s">
        <v>229</v>
      </c>
      <c r="G7" s="60" t="s">
        <v>230</v>
      </c>
      <c r="H7" s="61">
        <f ca="1">IFERROR(__xludf.DUMMYFUNCTION("MAX(IF(REGEXMATCH(E7,""^\d{1,2},\d{2}$""),VALUE(E7),0),IF(REGEXMATCH(F7,""^\d{1,2},\d{2}$""),VALUE(F7),0),IF(REGEXMATCH(G7,""^\d{1,2},\d{2}$""),VALUE(G7),0))"),10.44)</f>
        <v>10.44</v>
      </c>
      <c r="I7" s="21"/>
      <c r="J7" s="22"/>
    </row>
    <row r="8" spans="1:27" ht="18.75" customHeight="1" x14ac:dyDescent="0.25">
      <c r="A8" s="17"/>
      <c r="B8" s="28">
        <v>4</v>
      </c>
      <c r="C8" s="29" t="s">
        <v>33</v>
      </c>
      <c r="D8" s="30" t="s">
        <v>15</v>
      </c>
      <c r="E8" s="60" t="s">
        <v>231</v>
      </c>
      <c r="F8" s="60" t="s">
        <v>232</v>
      </c>
      <c r="G8" s="60" t="s">
        <v>233</v>
      </c>
      <c r="H8" s="61">
        <f ca="1">IFERROR(__xludf.DUMMYFUNCTION("MAX(IF(REGEXMATCH(E8,""^\d{1,2},\d{2}$""),VALUE(E8),0),IF(REGEXMATCH(F8,""^\d{1,2},\d{2}$""),VALUE(F8),0),IF(REGEXMATCH(G8,""^\d{1,2},\d{2}$""),VALUE(G8),0))"),9.64)</f>
        <v>9.64</v>
      </c>
      <c r="I8" s="21"/>
      <c r="J8" s="22"/>
    </row>
    <row r="9" spans="1:27" ht="18.75" customHeight="1" x14ac:dyDescent="0.25">
      <c r="A9" s="17"/>
      <c r="B9" s="28">
        <v>5</v>
      </c>
      <c r="C9" s="29" t="s">
        <v>35</v>
      </c>
      <c r="D9" s="30" t="s">
        <v>10</v>
      </c>
      <c r="E9" s="60" t="s">
        <v>234</v>
      </c>
      <c r="F9" s="60" t="s">
        <v>235</v>
      </c>
      <c r="G9" s="60" t="s">
        <v>84</v>
      </c>
      <c r="H9" s="61">
        <f ca="1">IFERROR(__xludf.DUMMYFUNCTION("MAX(IF(REGEXMATCH(E9,""^\d{1,2},\d{2}$""),VALUE(E9),0),IF(REGEXMATCH(F9,""^\d{1,2},\d{2}$""),VALUE(F9),0),IF(REGEXMATCH(G9,""^\d{1,2},\d{2}$""),VALUE(G9),0))"),8.38)</f>
        <v>8.3800000000000008</v>
      </c>
      <c r="I9" s="21"/>
      <c r="J9" s="22"/>
    </row>
    <row r="10" spans="1:27" ht="13.2" x14ac:dyDescent="0.25">
      <c r="A10" s="17"/>
      <c r="B10" s="62" t="s">
        <v>18</v>
      </c>
      <c r="C10" s="36"/>
      <c r="D10" s="37" t="s">
        <v>36</v>
      </c>
      <c r="E10" s="38"/>
      <c r="F10" s="38"/>
      <c r="G10" s="38"/>
      <c r="H10" s="63"/>
      <c r="I10" s="21"/>
      <c r="J10" s="22"/>
    </row>
    <row r="11" spans="1:27" ht="13.2" x14ac:dyDescent="0.25">
      <c r="A11" s="17"/>
      <c r="B11" s="17"/>
      <c r="D11" s="18"/>
      <c r="E11" s="18"/>
      <c r="F11" s="18"/>
      <c r="G11" s="18"/>
      <c r="H11" s="58"/>
      <c r="I11" s="21"/>
      <c r="J11" s="22"/>
    </row>
    <row r="12" spans="1:27" ht="15.6" x14ac:dyDescent="0.25">
      <c r="A12" s="23">
        <v>2</v>
      </c>
      <c r="B12" s="97" t="s">
        <v>96</v>
      </c>
      <c r="C12" s="98"/>
      <c r="D12" s="98"/>
      <c r="E12" s="98"/>
      <c r="F12" s="98"/>
      <c r="G12" s="98"/>
      <c r="H12" s="59"/>
      <c r="I12" s="25">
        <f ca="1">IF(COUNTIFS(H13:H17,"&gt;0") &gt; 3, FLOOR((SUM(H13:H17)-MIN(H13,H14,H15,H16,H17))/4,0.0001), )</f>
        <v>9.5975000000000001</v>
      </c>
      <c r="J12" s="26">
        <f ca="1">IF(I12=0,"",RANK(I12,$I$4:$I$224,))</f>
        <v>2</v>
      </c>
    </row>
    <row r="13" spans="1:27" ht="18.75" customHeight="1" x14ac:dyDescent="0.25">
      <c r="A13" s="17"/>
      <c r="B13" s="28">
        <v>1</v>
      </c>
      <c r="C13" s="29" t="s">
        <v>236</v>
      </c>
      <c r="D13" s="30" t="s">
        <v>10</v>
      </c>
      <c r="E13" s="60" t="s">
        <v>237</v>
      </c>
      <c r="F13" s="60" t="s">
        <v>238</v>
      </c>
      <c r="G13" s="60" t="s">
        <v>239</v>
      </c>
      <c r="H13" s="61">
        <f ca="1">IFERROR(__xludf.DUMMYFUNCTION("MAX(IF(REGEXMATCH(E13,""^\d{1,2},\d{2}$""),VALUE(E13),0),IF(REGEXMATCH(F13,""^\d{1,2},\d{2}$""),VALUE(F13),0),IF(REGEXMATCH(G13,""^\d{1,2},\d{2}$""),VALUE(G13),0))"),11.23)</f>
        <v>11.23</v>
      </c>
      <c r="I13" s="21"/>
      <c r="J13" s="22"/>
    </row>
    <row r="14" spans="1:27" ht="18.75" customHeight="1" x14ac:dyDescent="0.25">
      <c r="A14" s="17"/>
      <c r="B14" s="28">
        <v>2</v>
      </c>
      <c r="C14" s="29" t="s">
        <v>240</v>
      </c>
      <c r="D14" s="30" t="s">
        <v>10</v>
      </c>
      <c r="E14" s="60" t="s">
        <v>241</v>
      </c>
      <c r="F14" s="60" t="s">
        <v>242</v>
      </c>
      <c r="G14" s="60" t="s">
        <v>243</v>
      </c>
      <c r="H14" s="61">
        <f ca="1">IFERROR(__xludf.DUMMYFUNCTION("MAX(IF(REGEXMATCH(E14,""^\d{1,2},\d{2}$""),VALUE(E14),0),IF(REGEXMATCH(F14,""^\d{1,2},\d{2}$""),VALUE(F14),0),IF(REGEXMATCH(G14,""^\d{1,2},\d{2}$""),VALUE(G14),0))"),8.69)</f>
        <v>8.69</v>
      </c>
      <c r="I14" s="21"/>
      <c r="J14" s="22"/>
    </row>
    <row r="15" spans="1:27" ht="18.75" customHeight="1" x14ac:dyDescent="0.25">
      <c r="A15" s="17"/>
      <c r="B15" s="28">
        <v>3</v>
      </c>
      <c r="C15" s="29" t="s">
        <v>244</v>
      </c>
      <c r="D15" s="30" t="s">
        <v>10</v>
      </c>
      <c r="E15" s="60" t="s">
        <v>245</v>
      </c>
      <c r="F15" s="60" t="s">
        <v>246</v>
      </c>
      <c r="G15" s="60" t="s">
        <v>228</v>
      </c>
      <c r="H15" s="61">
        <f ca="1">IFERROR(__xludf.DUMMYFUNCTION("MAX(IF(REGEXMATCH(E15,""^\d{1,2},\d{2}$""),VALUE(E15),0),IF(REGEXMATCH(F15,""^\d{1,2},\d{2}$""),VALUE(F15),0),IF(REGEXMATCH(G15,""^\d{1,2},\d{2}$""),VALUE(G15),0))"),10.44)</f>
        <v>10.44</v>
      </c>
      <c r="I15" s="21"/>
      <c r="J15" s="22"/>
    </row>
    <row r="16" spans="1:27" ht="18.75" customHeight="1" x14ac:dyDescent="0.25">
      <c r="A16" s="17"/>
      <c r="B16" s="28">
        <v>4</v>
      </c>
      <c r="C16" s="29" t="s">
        <v>247</v>
      </c>
      <c r="D16" s="30" t="s">
        <v>15</v>
      </c>
      <c r="E16" s="60" t="s">
        <v>248</v>
      </c>
      <c r="F16" s="60" t="s">
        <v>249</v>
      </c>
      <c r="G16" s="60" t="s">
        <v>250</v>
      </c>
      <c r="H16" s="61">
        <f ca="1">IFERROR(__xludf.DUMMYFUNCTION("MAX(IF(REGEXMATCH(E16,""^\d{1,2},\d{2}$""),VALUE(E16),0),IF(REGEXMATCH(F16,""^\d{1,2},\d{2}$""),VALUE(F16),0),IF(REGEXMATCH(G16,""^\d{1,2},\d{2}$""),VALUE(G16),0))"),8.03)</f>
        <v>8.0299999999999994</v>
      </c>
      <c r="I16" s="21"/>
      <c r="J16" s="22"/>
    </row>
    <row r="17" spans="1:10" ht="18.75" customHeight="1" x14ac:dyDescent="0.25">
      <c r="A17" s="17"/>
      <c r="B17" s="28">
        <v>5</v>
      </c>
      <c r="C17" s="29" t="s">
        <v>251</v>
      </c>
      <c r="D17" s="30" t="s">
        <v>15</v>
      </c>
      <c r="E17" s="60" t="s">
        <v>252</v>
      </c>
      <c r="F17" s="60" t="s">
        <v>253</v>
      </c>
      <c r="G17" s="60" t="s">
        <v>252</v>
      </c>
      <c r="H17" s="61">
        <f ca="1">IFERROR(__xludf.DUMMYFUNCTION("MAX(IF(REGEXMATCH(E17,""^\d{1,2},\d{2}$""),VALUE(E17),0),IF(REGEXMATCH(F17,""^\d{1,2},\d{2}$""),VALUE(F17),0),IF(REGEXMATCH(G17,""^\d{1,2},\d{2}$""),VALUE(G17),0))"),7.79)</f>
        <v>7.79</v>
      </c>
      <c r="I17" s="21"/>
      <c r="J17" s="22"/>
    </row>
    <row r="18" spans="1:10" ht="13.2" x14ac:dyDescent="0.25">
      <c r="A18" s="17"/>
      <c r="B18" s="62" t="s">
        <v>18</v>
      </c>
      <c r="C18" s="36"/>
      <c r="D18" s="44" t="s">
        <v>254</v>
      </c>
      <c r="E18" s="38"/>
      <c r="F18" s="38"/>
      <c r="G18" s="38"/>
      <c r="H18" s="63"/>
      <c r="I18" s="21"/>
      <c r="J18" s="22"/>
    </row>
    <row r="19" spans="1:10" ht="13.2" x14ac:dyDescent="0.25">
      <c r="A19" s="17"/>
      <c r="B19" s="17"/>
      <c r="D19" s="18"/>
      <c r="E19" s="18"/>
      <c r="F19" s="18"/>
      <c r="G19" s="18"/>
      <c r="H19" s="58"/>
      <c r="I19" s="21"/>
      <c r="J19" s="22"/>
    </row>
    <row r="20" spans="1:10" ht="15.6" x14ac:dyDescent="0.25">
      <c r="A20" s="23">
        <v>3</v>
      </c>
      <c r="B20" s="97" t="s">
        <v>109</v>
      </c>
      <c r="C20" s="98"/>
      <c r="D20" s="98"/>
      <c r="E20" s="98"/>
      <c r="F20" s="98"/>
      <c r="G20" s="98"/>
      <c r="H20" s="59"/>
      <c r="I20" s="25">
        <f ca="1">IF(COUNTIFS(H21:H25,"&gt;0") &gt; 3, FLOOR((SUM(H21:H25)-MIN(H21,H22,H23,H24,H25))/4,0.0001), )</f>
        <v>9.3925000000000001</v>
      </c>
      <c r="J20" s="26">
        <f ca="1">IF(I20=0,"",RANK(I20,$I$4:$I$224,))</f>
        <v>3</v>
      </c>
    </row>
    <row r="21" spans="1:10" ht="13.2" x14ac:dyDescent="0.25">
      <c r="A21" s="17"/>
      <c r="B21" s="28">
        <v>1</v>
      </c>
      <c r="C21" s="29" t="s">
        <v>115</v>
      </c>
      <c r="D21" s="30" t="s">
        <v>10</v>
      </c>
      <c r="E21" s="60" t="s">
        <v>255</v>
      </c>
      <c r="F21" s="60" t="s">
        <v>256</v>
      </c>
      <c r="G21" s="60" t="s">
        <v>257</v>
      </c>
      <c r="H21" s="61">
        <f ca="1">IFERROR(__xludf.DUMMYFUNCTION("MAX(IF(REGEXMATCH(E21,""^\d{1,2},\d{2}$""),VALUE(E21),0),IF(REGEXMATCH(F21,""^\d{1,2},\d{2}$""),VALUE(F21),0),IF(REGEXMATCH(G21,""^\d{1,2},\d{2}$""),VALUE(G21),0))"),9.72)</f>
        <v>9.7200000000000006</v>
      </c>
      <c r="I21" s="21"/>
      <c r="J21" s="22"/>
    </row>
    <row r="22" spans="1:10" ht="13.2" x14ac:dyDescent="0.25">
      <c r="A22" s="17"/>
      <c r="B22" s="28">
        <v>2</v>
      </c>
      <c r="C22" s="29" t="s">
        <v>258</v>
      </c>
      <c r="D22" s="30" t="s">
        <v>10</v>
      </c>
      <c r="E22" s="60" t="s">
        <v>259</v>
      </c>
      <c r="F22" s="60" t="s">
        <v>260</v>
      </c>
      <c r="G22" s="60" t="s">
        <v>261</v>
      </c>
      <c r="H22" s="61">
        <f ca="1">IFERROR(__xludf.DUMMYFUNCTION("MAX(IF(REGEXMATCH(E22,""^\d{1,2},\d{2}$""),VALUE(E22),0),IF(REGEXMATCH(F22,""^\d{1,2},\d{2}$""),VALUE(F22),0),IF(REGEXMATCH(G22,""^\d{1,2},\d{2}$""),VALUE(G22),0))"),10.09)</f>
        <v>10.09</v>
      </c>
      <c r="I22" s="21"/>
      <c r="J22" s="22"/>
    </row>
    <row r="23" spans="1:10" ht="13.2" x14ac:dyDescent="0.25">
      <c r="A23" s="17"/>
      <c r="B23" s="28">
        <v>3</v>
      </c>
      <c r="C23" s="29" t="s">
        <v>262</v>
      </c>
      <c r="D23" s="30" t="s">
        <v>10</v>
      </c>
      <c r="E23" s="60" t="s">
        <v>263</v>
      </c>
      <c r="F23" s="60" t="s">
        <v>264</v>
      </c>
      <c r="G23" s="60" t="s">
        <v>265</v>
      </c>
      <c r="H23" s="61">
        <f ca="1">IFERROR(__xludf.DUMMYFUNCTION("MAX(IF(REGEXMATCH(E23,""^\d{1,2},\d{2}$""),VALUE(E23),0),IF(REGEXMATCH(F23,""^\d{1,2},\d{2}$""),VALUE(F23),0),IF(REGEXMATCH(G23,""^\d{1,2},\d{2}$""),VALUE(G23),0))"),9.17)</f>
        <v>9.17</v>
      </c>
      <c r="I23" s="21"/>
      <c r="J23" s="22"/>
    </row>
    <row r="24" spans="1:10" ht="13.2" x14ac:dyDescent="0.25">
      <c r="A24" s="17"/>
      <c r="B24" s="28">
        <v>4</v>
      </c>
      <c r="C24" s="29" t="s">
        <v>266</v>
      </c>
      <c r="D24" s="30" t="s">
        <v>10</v>
      </c>
      <c r="E24" s="60" t="s">
        <v>267</v>
      </c>
      <c r="F24" s="60" t="s">
        <v>268</v>
      </c>
      <c r="G24" s="60" t="s">
        <v>269</v>
      </c>
      <c r="H24" s="61">
        <f ca="1">IFERROR(__xludf.DUMMYFUNCTION("MAX(IF(REGEXMATCH(E24,""^\d{1,2},\d{2}$""),VALUE(E24),0),IF(REGEXMATCH(F24,""^\d{1,2},\d{2}$""),VALUE(F24),0),IF(REGEXMATCH(G24,""^\d{1,2},\d{2}$""),VALUE(G24),0))"),8.05)</f>
        <v>8.0500000000000007</v>
      </c>
      <c r="I24" s="21"/>
      <c r="J24" s="22"/>
    </row>
    <row r="25" spans="1:10" ht="13.2" x14ac:dyDescent="0.25">
      <c r="A25" s="17"/>
      <c r="B25" s="28">
        <v>5</v>
      </c>
      <c r="C25" s="29" t="s">
        <v>270</v>
      </c>
      <c r="D25" s="30" t="s">
        <v>15</v>
      </c>
      <c r="E25" s="60" t="s">
        <v>271</v>
      </c>
      <c r="F25" s="60" t="s">
        <v>272</v>
      </c>
      <c r="G25" s="60" t="s">
        <v>273</v>
      </c>
      <c r="H25" s="61">
        <f ca="1">IFERROR(__xludf.DUMMYFUNCTION("MAX(IF(REGEXMATCH(E25,""^\d{1,2},\d{2}$""),VALUE(E25),0),IF(REGEXMATCH(F25,""^\d{1,2},\d{2}$""),VALUE(F25),0),IF(REGEXMATCH(G25,""^\d{1,2},\d{2}$""),VALUE(G25),0))"),8.59)</f>
        <v>8.59</v>
      </c>
      <c r="I25" s="21"/>
      <c r="J25" s="22"/>
    </row>
    <row r="26" spans="1:10" ht="13.2" x14ac:dyDescent="0.25">
      <c r="A26" s="17"/>
      <c r="B26" s="62" t="s">
        <v>18</v>
      </c>
      <c r="C26" s="36"/>
      <c r="D26" s="44" t="s">
        <v>274</v>
      </c>
      <c r="E26" s="38"/>
      <c r="F26" s="38"/>
      <c r="G26" s="38"/>
      <c r="H26" s="63"/>
      <c r="I26" s="21"/>
      <c r="J26" s="22"/>
    </row>
    <row r="27" spans="1:10" ht="13.2" x14ac:dyDescent="0.25">
      <c r="A27" s="17"/>
      <c r="B27" s="17"/>
      <c r="D27" s="18"/>
      <c r="E27" s="18"/>
      <c r="F27" s="18"/>
      <c r="G27" s="18"/>
      <c r="H27" s="58"/>
      <c r="I27" s="21"/>
      <c r="J27" s="22"/>
    </row>
    <row r="28" spans="1:10" ht="15.6" x14ac:dyDescent="0.25">
      <c r="A28" s="23">
        <v>4</v>
      </c>
      <c r="B28" s="97" t="s">
        <v>54</v>
      </c>
      <c r="C28" s="98"/>
      <c r="D28" s="98"/>
      <c r="E28" s="98"/>
      <c r="F28" s="98"/>
      <c r="G28" s="98"/>
      <c r="H28" s="59"/>
      <c r="I28" s="25">
        <f ca="1">IF(COUNTIFS(H29:H33,"&gt;0") &gt; 3, FLOOR((SUM(H29:H33)-MIN(H29,H30,H31,H32,H33))/4,0.0001), )</f>
        <v>8.932500000000001</v>
      </c>
      <c r="J28" s="26">
        <f ca="1">IF(I28=0,"",RANK(I28,$I$4:$I$224,))</f>
        <v>4</v>
      </c>
    </row>
    <row r="29" spans="1:10" ht="13.2" x14ac:dyDescent="0.25">
      <c r="A29" s="17"/>
      <c r="B29" s="28">
        <v>1</v>
      </c>
      <c r="C29" s="29" t="s">
        <v>275</v>
      </c>
      <c r="D29" s="30" t="s">
        <v>15</v>
      </c>
      <c r="E29" s="60" t="s">
        <v>272</v>
      </c>
      <c r="F29" s="60" t="s">
        <v>276</v>
      </c>
      <c r="G29" s="60" t="s">
        <v>276</v>
      </c>
      <c r="H29" s="61">
        <f ca="1">IFERROR(__xludf.DUMMYFUNCTION("MAX(IF(REGEXMATCH(E29,""^\d{1,2},\d{2}$""),VALUE(E29),0),IF(REGEXMATCH(F29,""^\d{1,2},\d{2}$""),VALUE(F29),0),IF(REGEXMATCH(G29,""^\d{1,2},\d{2}$""),VALUE(G29),0))"),8.2)</f>
        <v>8.1999999999999993</v>
      </c>
      <c r="I29" s="21"/>
      <c r="J29" s="22"/>
    </row>
    <row r="30" spans="1:10" ht="13.2" x14ac:dyDescent="0.25">
      <c r="A30" s="17"/>
      <c r="B30" s="28">
        <v>2</v>
      </c>
      <c r="C30" s="29" t="s">
        <v>277</v>
      </c>
      <c r="D30" s="30" t="s">
        <v>10</v>
      </c>
      <c r="E30" s="60" t="s">
        <v>278</v>
      </c>
      <c r="F30" s="60" t="s">
        <v>279</v>
      </c>
      <c r="G30" s="60" t="s">
        <v>280</v>
      </c>
      <c r="H30" s="61">
        <f ca="1">IFERROR(__xludf.DUMMYFUNCTION("MAX(IF(REGEXMATCH(E30,""^\d{1,2},\d{2}$""),VALUE(E30),0),IF(REGEXMATCH(F30,""^\d{1,2},\d{2}$""),VALUE(F30),0),IF(REGEXMATCH(G30,""^\d{1,2},\d{2}$""),VALUE(G30),0))"),7.11)</f>
        <v>7.11</v>
      </c>
      <c r="I30" s="21"/>
      <c r="J30" s="22"/>
    </row>
    <row r="31" spans="1:10" ht="13.2" x14ac:dyDescent="0.25">
      <c r="A31" s="17"/>
      <c r="B31" s="28">
        <v>3</v>
      </c>
      <c r="C31" s="29" t="s">
        <v>281</v>
      </c>
      <c r="D31" s="30" t="s">
        <v>10</v>
      </c>
      <c r="E31" s="60" t="s">
        <v>282</v>
      </c>
      <c r="F31" s="60" t="s">
        <v>283</v>
      </c>
      <c r="G31" s="60" t="s">
        <v>234</v>
      </c>
      <c r="H31" s="61">
        <f ca="1">IFERROR(__xludf.DUMMYFUNCTION("MAX(IF(REGEXMATCH(E31,""^\d{1,2},\d{2}$""),VALUE(E31),0),IF(REGEXMATCH(F31,""^\d{1,2},\d{2}$""),VALUE(F31),0),IF(REGEXMATCH(G31,""^\d{1,2},\d{2}$""),VALUE(G31),0))"),8.55)</f>
        <v>8.5500000000000007</v>
      </c>
      <c r="I31" s="21"/>
      <c r="J31" s="22"/>
    </row>
    <row r="32" spans="1:10" ht="13.2" x14ac:dyDescent="0.25">
      <c r="A32" s="17"/>
      <c r="B32" s="28">
        <v>4</v>
      </c>
      <c r="C32" s="29" t="s">
        <v>284</v>
      </c>
      <c r="D32" s="30" t="s">
        <v>15</v>
      </c>
      <c r="E32" s="60" t="s">
        <v>285</v>
      </c>
      <c r="F32" s="60" t="s">
        <v>248</v>
      </c>
      <c r="G32" s="60" t="s">
        <v>286</v>
      </c>
      <c r="H32" s="61">
        <f ca="1">IFERROR(__xludf.DUMMYFUNCTION("MAX(IF(REGEXMATCH(E32,""^\d{1,2},\d{2}$""),VALUE(E32),0),IF(REGEXMATCH(F32,""^\d{1,2},\d{2}$""),VALUE(F32),0),IF(REGEXMATCH(G32,""^\d{1,2},\d{2}$""),VALUE(G32),0))"),7.94)</f>
        <v>7.94</v>
      </c>
      <c r="I32" s="21"/>
      <c r="J32" s="22"/>
    </row>
    <row r="33" spans="1:10" ht="13.2" x14ac:dyDescent="0.25">
      <c r="A33" s="17"/>
      <c r="B33" s="28">
        <v>5</v>
      </c>
      <c r="C33" s="29" t="s">
        <v>287</v>
      </c>
      <c r="D33" s="30" t="s">
        <v>10</v>
      </c>
      <c r="E33" s="60" t="s">
        <v>288</v>
      </c>
      <c r="F33" s="60" t="s">
        <v>289</v>
      </c>
      <c r="G33" s="60" t="s">
        <v>290</v>
      </c>
      <c r="H33" s="61">
        <f ca="1">IFERROR(__xludf.DUMMYFUNCTION("MAX(IF(REGEXMATCH(E33,""^\d{1,2},\d{2}$""),VALUE(E33),0),IF(REGEXMATCH(F33,""^\d{1,2},\d{2}$""),VALUE(F33),0),IF(REGEXMATCH(G33,""^\d{1,2},\d{2}$""),VALUE(G33),0))"),11.04)</f>
        <v>11.04</v>
      </c>
      <c r="I33" s="21"/>
      <c r="J33" s="22"/>
    </row>
    <row r="34" spans="1:10" ht="13.2" x14ac:dyDescent="0.25">
      <c r="A34" s="17"/>
      <c r="B34" s="62" t="s">
        <v>18</v>
      </c>
      <c r="C34" s="36"/>
      <c r="D34" s="44" t="s">
        <v>61</v>
      </c>
      <c r="E34" s="38"/>
      <c r="F34" s="38"/>
      <c r="G34" s="38"/>
      <c r="H34" s="63"/>
      <c r="I34" s="21"/>
      <c r="J34" s="22"/>
    </row>
    <row r="35" spans="1:10" ht="13.2" x14ac:dyDescent="0.25">
      <c r="A35" s="17"/>
      <c r="B35" s="17"/>
      <c r="D35" s="18"/>
      <c r="E35" s="18"/>
      <c r="F35" s="18"/>
      <c r="G35" s="18"/>
      <c r="H35" s="58"/>
      <c r="I35" s="21"/>
      <c r="J35" s="22"/>
    </row>
    <row r="36" spans="1:10" ht="15.6" x14ac:dyDescent="0.25">
      <c r="A36" s="23">
        <v>5</v>
      </c>
      <c r="B36" s="97" t="s">
        <v>126</v>
      </c>
      <c r="C36" s="98"/>
      <c r="D36" s="98"/>
      <c r="E36" s="98"/>
      <c r="F36" s="98"/>
      <c r="G36" s="98"/>
      <c r="H36" s="59"/>
      <c r="I36" s="25">
        <f ca="1">IF(COUNTIFS(H37:H41,"&gt;0") &gt; 3, FLOOR((SUM(H37:H41)-MIN(H37,H38,H39,H40,H41))/4,0.0001), )</f>
        <v>8.625</v>
      </c>
      <c r="J36" s="26">
        <f ca="1">IF(I36=0,"",RANK(I36,$I$4:$I$224,))</f>
        <v>5</v>
      </c>
    </row>
    <row r="37" spans="1:10" ht="13.2" x14ac:dyDescent="0.25">
      <c r="A37" s="17"/>
      <c r="B37" s="28">
        <v>1</v>
      </c>
      <c r="C37" s="29" t="s">
        <v>291</v>
      </c>
      <c r="D37" s="30" t="s">
        <v>10</v>
      </c>
      <c r="E37" s="60" t="s">
        <v>243</v>
      </c>
      <c r="F37" s="60" t="s">
        <v>292</v>
      </c>
      <c r="G37" s="60" t="s">
        <v>293</v>
      </c>
      <c r="H37" s="61">
        <f ca="1">IFERROR(__xludf.DUMMYFUNCTION("MAX(IF(REGEXMATCH(E37,""^\d{1,2},\d{2}$""),VALUE(E37),0),IF(REGEXMATCH(F37,""^\d{1,2},\d{2}$""),VALUE(F37),0),IF(REGEXMATCH(G37,""^\d{1,2},\d{2}$""),VALUE(G37),0))"),9.5)</f>
        <v>9.5</v>
      </c>
      <c r="I37" s="21"/>
      <c r="J37" s="22"/>
    </row>
    <row r="38" spans="1:10" ht="13.2" x14ac:dyDescent="0.25">
      <c r="A38" s="17"/>
      <c r="B38" s="28">
        <v>2</v>
      </c>
      <c r="C38" s="29" t="s">
        <v>131</v>
      </c>
      <c r="D38" s="30" t="s">
        <v>10</v>
      </c>
      <c r="E38" s="60" t="s">
        <v>294</v>
      </c>
      <c r="F38" s="60" t="s">
        <v>295</v>
      </c>
      <c r="G38" s="60" t="s">
        <v>296</v>
      </c>
      <c r="H38" s="61">
        <f ca="1">IFERROR(__xludf.DUMMYFUNCTION("MAX(IF(REGEXMATCH(E38,""^\d{1,2},\d{2}$""),VALUE(E38),0),IF(REGEXMATCH(F38,""^\d{1,2},\d{2}$""),VALUE(F38),0),IF(REGEXMATCH(G38,""^\d{1,2},\d{2}$""),VALUE(G38),0))"),8.02)</f>
        <v>8.02</v>
      </c>
      <c r="I38" s="21"/>
      <c r="J38" s="22"/>
    </row>
    <row r="39" spans="1:10" ht="13.2" x14ac:dyDescent="0.25">
      <c r="A39" s="17"/>
      <c r="B39" s="28">
        <v>3</v>
      </c>
      <c r="C39" s="29" t="s">
        <v>133</v>
      </c>
      <c r="D39" s="30" t="s">
        <v>15</v>
      </c>
      <c r="E39" s="60" t="s">
        <v>297</v>
      </c>
      <c r="F39" s="60" t="s">
        <v>298</v>
      </c>
      <c r="G39" s="60" t="s">
        <v>299</v>
      </c>
      <c r="H39" s="61">
        <f ca="1">IFERROR(__xludf.DUMMYFUNCTION("MAX(IF(REGEXMATCH(E39,""^\d{1,2},\d{2}$""),VALUE(E39),0),IF(REGEXMATCH(F39,""^\d{1,2},\d{2}$""),VALUE(F39),0),IF(REGEXMATCH(G39,""^\d{1,2},\d{2}$""),VALUE(G39),0))"),8.48)</f>
        <v>8.48</v>
      </c>
      <c r="I39" s="21"/>
      <c r="J39" s="22"/>
    </row>
    <row r="40" spans="1:10" ht="13.2" x14ac:dyDescent="0.25">
      <c r="A40" s="17"/>
      <c r="B40" s="28">
        <v>4</v>
      </c>
      <c r="C40" s="29" t="s">
        <v>300</v>
      </c>
      <c r="D40" s="30" t="s">
        <v>15</v>
      </c>
      <c r="E40" s="60" t="s">
        <v>235</v>
      </c>
      <c r="F40" s="60" t="s">
        <v>301</v>
      </c>
      <c r="G40" s="60" t="s">
        <v>234</v>
      </c>
      <c r="H40" s="61">
        <f ca="1">IFERROR(__xludf.DUMMYFUNCTION("MAX(IF(REGEXMATCH(E40,""^\d{1,2},\d{2}$""),VALUE(E40),0),IF(REGEXMATCH(F40,""^\d{1,2},\d{2}$""),VALUE(F40),0),IF(REGEXMATCH(G40,""^\d{1,2},\d{2}$""),VALUE(G40),0))"),8.5)</f>
        <v>8.5</v>
      </c>
      <c r="I40" s="21"/>
      <c r="J40" s="22"/>
    </row>
    <row r="41" spans="1:10" ht="13.2" x14ac:dyDescent="0.25">
      <c r="A41" s="17"/>
      <c r="B41" s="28">
        <v>5</v>
      </c>
      <c r="C41" s="29" t="s">
        <v>137</v>
      </c>
      <c r="D41" s="30" t="s">
        <v>10</v>
      </c>
      <c r="E41" s="60" t="s">
        <v>302</v>
      </c>
      <c r="F41" s="60" t="s">
        <v>303</v>
      </c>
      <c r="G41" s="60" t="s">
        <v>304</v>
      </c>
      <c r="H41" s="61">
        <f ca="1">IFERROR(__xludf.DUMMYFUNCTION("MAX(IF(REGEXMATCH(E41,""^\d{1,2},\d{2}$""),VALUE(E41),0),IF(REGEXMATCH(F41,""^\d{1,2},\d{2}$""),VALUE(F41),0),IF(REGEXMATCH(G41,""^\d{1,2},\d{2}$""),VALUE(G41),0))"),7.27)</f>
        <v>7.27</v>
      </c>
      <c r="I41" s="21"/>
      <c r="J41" s="22"/>
    </row>
    <row r="42" spans="1:10" ht="13.2" x14ac:dyDescent="0.25">
      <c r="A42" s="17"/>
      <c r="B42" s="62" t="s">
        <v>18</v>
      </c>
      <c r="C42" s="36"/>
      <c r="D42" s="44" t="s">
        <v>305</v>
      </c>
      <c r="E42" s="38"/>
      <c r="F42" s="38"/>
      <c r="G42" s="38"/>
      <c r="H42" s="63"/>
      <c r="I42" s="21"/>
      <c r="J42" s="22"/>
    </row>
    <row r="43" spans="1:10" ht="13.2" x14ac:dyDescent="0.25">
      <c r="A43" s="17"/>
      <c r="B43" s="17"/>
      <c r="D43" s="18"/>
      <c r="E43" s="18"/>
      <c r="F43" s="18"/>
      <c r="G43" s="18"/>
      <c r="H43" s="58"/>
      <c r="I43" s="21"/>
      <c r="J43" s="22"/>
    </row>
    <row r="44" spans="1:10" ht="15.6" x14ac:dyDescent="0.25">
      <c r="A44" s="23">
        <v>6</v>
      </c>
      <c r="B44" s="97" t="s">
        <v>306</v>
      </c>
      <c r="C44" s="98"/>
      <c r="D44" s="98"/>
      <c r="E44" s="98"/>
      <c r="F44" s="98"/>
      <c r="G44" s="98"/>
      <c r="H44" s="59"/>
      <c r="I44" s="25">
        <f ca="1">IF(COUNTIFS(H45:H49,"&gt;0") &gt; 3, FLOOR((SUM(H45:H49)-MIN(H45,H46,H47,H48,H49))/4,0.0001), )</f>
        <v>8.5950000000000006</v>
      </c>
      <c r="J44" s="26">
        <f ca="1">IF(I44=0,"",RANK(I44,$I$4:$I$224,))</f>
        <v>6</v>
      </c>
    </row>
    <row r="45" spans="1:10" ht="13.2" x14ac:dyDescent="0.25">
      <c r="A45" s="17"/>
      <c r="B45" s="28">
        <v>1</v>
      </c>
      <c r="C45" s="29" t="s">
        <v>307</v>
      </c>
      <c r="D45" s="30" t="s">
        <v>10</v>
      </c>
      <c r="E45" s="60" t="s">
        <v>308</v>
      </c>
      <c r="F45" s="60" t="s">
        <v>309</v>
      </c>
      <c r="G45" s="60" t="s">
        <v>310</v>
      </c>
      <c r="H45" s="61">
        <f ca="1">IFERROR(__xludf.DUMMYFUNCTION("MAX(IF(REGEXMATCH(E45,""^\d{1,2},\d{2}$""),VALUE(E45),0),IF(REGEXMATCH(F45,""^\d{1,2},\d{2}$""),VALUE(F45),0),IF(REGEXMATCH(G45,""^\d{1,2},\d{2}$""),VALUE(G45),0))"),6.94)</f>
        <v>6.94</v>
      </c>
      <c r="I45" s="21"/>
      <c r="J45" s="22"/>
    </row>
    <row r="46" spans="1:10" ht="13.2" x14ac:dyDescent="0.25">
      <c r="A46" s="17"/>
      <c r="B46" s="28">
        <v>2</v>
      </c>
      <c r="C46" s="29" t="s">
        <v>311</v>
      </c>
      <c r="D46" s="30" t="s">
        <v>15</v>
      </c>
      <c r="E46" s="60" t="s">
        <v>312</v>
      </c>
      <c r="F46" s="60" t="s">
        <v>313</v>
      </c>
      <c r="G46" s="60" t="s">
        <v>314</v>
      </c>
      <c r="H46" s="61">
        <f ca="1">IFERROR(__xludf.DUMMYFUNCTION("MAX(IF(REGEXMATCH(E46,""^\d{1,2},\d{2}$""),VALUE(E46),0),IF(REGEXMATCH(F46,""^\d{1,2},\d{2}$""),VALUE(F46),0),IF(REGEXMATCH(G46,""^\d{1,2},\d{2}$""),VALUE(G46),0))"),5.98)</f>
        <v>5.98</v>
      </c>
      <c r="I46" s="21"/>
      <c r="J46" s="22"/>
    </row>
    <row r="47" spans="1:10" ht="13.2" x14ac:dyDescent="0.25">
      <c r="A47" s="17"/>
      <c r="B47" s="28">
        <v>3</v>
      </c>
      <c r="C47" s="29" t="s">
        <v>315</v>
      </c>
      <c r="D47" s="30" t="s">
        <v>10</v>
      </c>
      <c r="E47" s="60" t="s">
        <v>316</v>
      </c>
      <c r="F47" s="60" t="s">
        <v>317</v>
      </c>
      <c r="G47" s="60" t="s">
        <v>318</v>
      </c>
      <c r="H47" s="61">
        <f ca="1">IFERROR(__xludf.DUMMYFUNCTION("MAX(IF(REGEXMATCH(E47,""^\d{1,2},\d{2}$""),VALUE(E47),0),IF(REGEXMATCH(F47,""^\d{1,2},\d{2}$""),VALUE(F47),0),IF(REGEXMATCH(G47,""^\d{1,2},\d{2}$""),VALUE(G47),0))"),6.67)</f>
        <v>6.67</v>
      </c>
      <c r="I47" s="21"/>
      <c r="J47" s="22"/>
    </row>
    <row r="48" spans="1:10" ht="13.2" x14ac:dyDescent="0.25">
      <c r="A48" s="17"/>
      <c r="B48" s="28">
        <v>4</v>
      </c>
      <c r="C48" s="29" t="s">
        <v>319</v>
      </c>
      <c r="D48" s="30" t="s">
        <v>10</v>
      </c>
      <c r="E48" s="60" t="s">
        <v>320</v>
      </c>
      <c r="F48" s="60" t="s">
        <v>292</v>
      </c>
      <c r="G48" s="60" t="s">
        <v>321</v>
      </c>
      <c r="H48" s="61">
        <f ca="1">IFERROR(__xludf.DUMMYFUNCTION("MAX(IF(REGEXMATCH(E48,""^\d{1,2},\d{2}$""),VALUE(E48),0),IF(REGEXMATCH(F48,""^\d{1,2},\d{2}$""),VALUE(F48),0),IF(REGEXMATCH(G48,""^\d{1,2},\d{2}$""),VALUE(G48),0))"),9.62)</f>
        <v>9.6199999999999992</v>
      </c>
      <c r="I48" s="21"/>
      <c r="J48" s="22"/>
    </row>
    <row r="49" spans="1:10" ht="13.2" x14ac:dyDescent="0.25">
      <c r="A49" s="17"/>
      <c r="B49" s="28">
        <v>5</v>
      </c>
      <c r="C49" s="29" t="s">
        <v>322</v>
      </c>
      <c r="D49" s="30" t="s">
        <v>10</v>
      </c>
      <c r="E49" s="60" t="s">
        <v>323</v>
      </c>
      <c r="F49" s="60" t="s">
        <v>324</v>
      </c>
      <c r="G49" s="60" t="s">
        <v>325</v>
      </c>
      <c r="H49" s="61">
        <f ca="1">IFERROR(__xludf.DUMMYFUNCTION("MAX(IF(REGEXMATCH(E49,""^\d{1,2},\d{2}$""),VALUE(E49),0),IF(REGEXMATCH(F49,""^\d{1,2},\d{2}$""),VALUE(F49),0),IF(REGEXMATCH(G49,""^\d{1,2},\d{2}$""),VALUE(G49),0))"),11.15)</f>
        <v>11.15</v>
      </c>
      <c r="I49" s="21"/>
      <c r="J49" s="22"/>
    </row>
    <row r="50" spans="1:10" ht="13.2" x14ac:dyDescent="0.25">
      <c r="A50" s="17"/>
      <c r="B50" s="62" t="s">
        <v>18</v>
      </c>
      <c r="C50" s="36"/>
      <c r="D50" s="44" t="s">
        <v>326</v>
      </c>
      <c r="E50" s="38"/>
      <c r="F50" s="38"/>
      <c r="G50" s="38"/>
      <c r="H50" s="63"/>
      <c r="I50" s="21"/>
      <c r="J50" s="22"/>
    </row>
    <row r="51" spans="1:10" ht="13.2" x14ac:dyDescent="0.25">
      <c r="A51" s="17"/>
      <c r="B51" s="17"/>
      <c r="D51" s="18"/>
      <c r="E51" s="18"/>
      <c r="F51" s="18"/>
      <c r="G51" s="18"/>
      <c r="H51" s="58"/>
      <c r="I51" s="21"/>
      <c r="J51" s="22"/>
    </row>
    <row r="52" spans="1:10" ht="15.6" x14ac:dyDescent="0.25">
      <c r="A52" s="23">
        <v>7</v>
      </c>
      <c r="B52" s="97" t="s">
        <v>327</v>
      </c>
      <c r="C52" s="98"/>
      <c r="D52" s="98"/>
      <c r="E52" s="98"/>
      <c r="F52" s="98"/>
      <c r="G52" s="98"/>
      <c r="H52" s="59"/>
      <c r="I52" s="25">
        <f ca="1">IF(COUNTIFS(H53:H57,"&gt;0") &gt; 3, FLOOR((SUM(H53:H57)-MIN(H53,H54,H55,H56,H57))/4,0.0001), )</f>
        <v>8.4175000000000004</v>
      </c>
      <c r="J52" s="26">
        <f ca="1">IF(I52=0,"",RANK(I52,$I$4:$I$224,))</f>
        <v>7</v>
      </c>
    </row>
    <row r="53" spans="1:10" ht="13.2" x14ac:dyDescent="0.25">
      <c r="A53" s="17"/>
      <c r="B53" s="28">
        <v>1</v>
      </c>
      <c r="C53" s="29" t="s">
        <v>328</v>
      </c>
      <c r="D53" s="30" t="s">
        <v>10</v>
      </c>
      <c r="E53" s="60" t="s">
        <v>329</v>
      </c>
      <c r="F53" s="60" t="s">
        <v>330</v>
      </c>
      <c r="G53" s="60" t="s">
        <v>241</v>
      </c>
      <c r="H53" s="61">
        <f ca="1">IFERROR(__xludf.DUMMYFUNCTION("MAX(IF(REGEXMATCH(E53,""^\d{1,2},\d{2}$""),VALUE(E53),0),IF(REGEXMATCH(F53,""^\d{1,2},\d{2}$""),VALUE(F53),0),IF(REGEXMATCH(G53,""^\d{1,2},\d{2}$""),VALUE(G53),0))"),8.42)</f>
        <v>8.42</v>
      </c>
      <c r="I53" s="21"/>
      <c r="J53" s="22"/>
    </row>
    <row r="54" spans="1:10" ht="13.2" x14ac:dyDescent="0.25">
      <c r="A54" s="17"/>
      <c r="B54" s="28">
        <v>2</v>
      </c>
      <c r="C54" s="29" t="s">
        <v>331</v>
      </c>
      <c r="D54" s="30" t="s">
        <v>10</v>
      </c>
      <c r="E54" s="60" t="s">
        <v>332</v>
      </c>
      <c r="F54" s="60" t="s">
        <v>309</v>
      </c>
      <c r="G54" s="60" t="s">
        <v>333</v>
      </c>
      <c r="H54" s="61">
        <f ca="1">IFERROR(__xludf.DUMMYFUNCTION("MAX(IF(REGEXMATCH(E54,""^\d{1,2},\d{2}$""),VALUE(E54),0),IF(REGEXMATCH(F54,""^\d{1,2},\d{2}$""),VALUE(F54),0),IF(REGEXMATCH(G54,""^\d{1,2},\d{2}$""),VALUE(G54),0))"),7.28)</f>
        <v>7.28</v>
      </c>
      <c r="I54" s="21"/>
      <c r="J54" s="22"/>
    </row>
    <row r="55" spans="1:10" ht="13.2" x14ac:dyDescent="0.25">
      <c r="A55" s="17"/>
      <c r="B55" s="28">
        <v>3</v>
      </c>
      <c r="C55" s="29" t="s">
        <v>334</v>
      </c>
      <c r="D55" s="30" t="s">
        <v>10</v>
      </c>
      <c r="E55" s="60" t="s">
        <v>335</v>
      </c>
      <c r="F55" s="60" t="s">
        <v>336</v>
      </c>
      <c r="G55" s="60" t="s">
        <v>337</v>
      </c>
      <c r="H55" s="61">
        <f ca="1">IFERROR(__xludf.DUMMYFUNCTION("MAX(IF(REGEXMATCH(E55,""^\d{1,2},\d{2}$""),VALUE(E55),0),IF(REGEXMATCH(F55,""^\d{1,2},\d{2}$""),VALUE(F55),0),IF(REGEXMATCH(G55,""^\d{1,2},\d{2}$""),VALUE(G55),0))"),9.28)</f>
        <v>9.2799999999999994</v>
      </c>
      <c r="I55" s="21"/>
      <c r="J55" s="22"/>
    </row>
    <row r="56" spans="1:10" ht="13.2" x14ac:dyDescent="0.25">
      <c r="A56" s="17"/>
      <c r="B56" s="28">
        <v>4</v>
      </c>
      <c r="C56" s="29" t="s">
        <v>338</v>
      </c>
      <c r="D56" s="30" t="s">
        <v>15</v>
      </c>
      <c r="E56" s="60" t="s">
        <v>294</v>
      </c>
      <c r="F56" s="60" t="s">
        <v>243</v>
      </c>
      <c r="G56" s="60" t="s">
        <v>231</v>
      </c>
      <c r="H56" s="61">
        <f ca="1">IFERROR(__xludf.DUMMYFUNCTION("MAX(IF(REGEXMATCH(E56,""^\d{1,2},\d{2}$""),VALUE(E56),0),IF(REGEXMATCH(F56,""^\d{1,2},\d{2}$""),VALUE(F56),0),IF(REGEXMATCH(G56,""^\d{1,2},\d{2}$""),VALUE(G56),0))"),8.69)</f>
        <v>8.69</v>
      </c>
      <c r="I56" s="21"/>
      <c r="J56" s="22"/>
    </row>
    <row r="57" spans="1:10" ht="13.2" x14ac:dyDescent="0.25">
      <c r="A57" s="17"/>
      <c r="B57" s="28">
        <v>5</v>
      </c>
      <c r="C57" s="29" t="s">
        <v>339</v>
      </c>
      <c r="D57" s="30" t="s">
        <v>15</v>
      </c>
      <c r="E57" s="60" t="s">
        <v>340</v>
      </c>
      <c r="F57" s="60" t="s">
        <v>341</v>
      </c>
      <c r="G57" s="60" t="s">
        <v>342</v>
      </c>
      <c r="H57" s="61">
        <f ca="1">IFERROR(__xludf.DUMMYFUNCTION("MAX(IF(REGEXMATCH(E57,""^\d{1,2},\d{2}$""),VALUE(E57),0),IF(REGEXMATCH(F57,""^\d{1,2},\d{2}$""),VALUE(F57),0),IF(REGEXMATCH(G57,""^\d{1,2},\d{2}$""),VALUE(G57),0))"),5.96)</f>
        <v>5.96</v>
      </c>
      <c r="I57" s="21"/>
      <c r="J57" s="22"/>
    </row>
    <row r="58" spans="1:10" ht="13.2" x14ac:dyDescent="0.25">
      <c r="A58" s="17"/>
      <c r="B58" s="62" t="s">
        <v>18</v>
      </c>
      <c r="C58" s="36"/>
      <c r="D58" s="44" t="s">
        <v>343</v>
      </c>
      <c r="E58" s="38"/>
      <c r="F58" s="38"/>
      <c r="G58" s="38"/>
      <c r="H58" s="63"/>
      <c r="I58" s="21"/>
      <c r="J58" s="22"/>
    </row>
    <row r="59" spans="1:10" ht="13.2" x14ac:dyDescent="0.25">
      <c r="A59" s="17"/>
      <c r="B59" s="17"/>
      <c r="D59" s="18"/>
      <c r="E59" s="18"/>
      <c r="F59" s="18"/>
      <c r="G59" s="18"/>
      <c r="H59" s="58"/>
      <c r="I59" s="21"/>
      <c r="J59" s="22"/>
    </row>
    <row r="60" spans="1:10" ht="15.6" x14ac:dyDescent="0.25">
      <c r="A60" s="23">
        <v>8</v>
      </c>
      <c r="B60" s="97" t="s">
        <v>180</v>
      </c>
      <c r="C60" s="98"/>
      <c r="D60" s="98"/>
      <c r="E60" s="98"/>
      <c r="F60" s="98"/>
      <c r="G60" s="98"/>
      <c r="H60" s="59"/>
      <c r="I60" s="25">
        <f ca="1">IF(COUNTIFS(H61:H65,"&gt;0") &gt; 3, FLOOR((SUM(H61:H65)-MIN(H61,H62,H63,H64,H65))/4,0.0001), )</f>
        <v>8.3975000000000009</v>
      </c>
      <c r="J60" s="26">
        <f ca="1">IF(I60=0,"",RANK(I60,$I$4:$I$224,))</f>
        <v>8</v>
      </c>
    </row>
    <row r="61" spans="1:10" ht="13.2" x14ac:dyDescent="0.25">
      <c r="A61" s="17"/>
      <c r="B61" s="28">
        <v>1</v>
      </c>
      <c r="C61" s="29" t="s">
        <v>182</v>
      </c>
      <c r="D61" s="30" t="s">
        <v>10</v>
      </c>
      <c r="E61" s="60" t="s">
        <v>344</v>
      </c>
      <c r="F61" s="60" t="s">
        <v>345</v>
      </c>
      <c r="G61" s="60" t="s">
        <v>273</v>
      </c>
      <c r="H61" s="61">
        <f ca="1">IFERROR(__xludf.DUMMYFUNCTION("MAX(IF(REGEXMATCH(E61,""^\d{1,2},\d{2}$""),VALUE(E61),0),IF(REGEXMATCH(F61,""^\d{1,2},\d{2}$""),VALUE(F61),0),IF(REGEXMATCH(G61,""^\d{1,2},\d{2}$""),VALUE(G61),0))"),8.96)</f>
        <v>8.9600000000000009</v>
      </c>
      <c r="I61" s="21"/>
      <c r="J61" s="22"/>
    </row>
    <row r="62" spans="1:10" ht="13.2" x14ac:dyDescent="0.25">
      <c r="A62" s="17"/>
      <c r="B62" s="28">
        <v>2</v>
      </c>
      <c r="C62" s="29" t="s">
        <v>346</v>
      </c>
      <c r="D62" s="30" t="s">
        <v>15</v>
      </c>
      <c r="E62" s="60" t="s">
        <v>84</v>
      </c>
      <c r="F62" s="60" t="s">
        <v>330</v>
      </c>
      <c r="G62" s="60" t="s">
        <v>347</v>
      </c>
      <c r="H62" s="61">
        <f ca="1">IFERROR(__xludf.DUMMYFUNCTION("MAX(IF(REGEXMATCH(E62,""^\d{1,2},\d{2}$""),VALUE(E62),0),IF(REGEXMATCH(F62,""^\d{1,2},\d{2}$""),VALUE(F62),0),IF(REGEXMATCH(G62,""^\d{1,2},\d{2}$""),VALUE(G62),0))"),8.09)</f>
        <v>8.09</v>
      </c>
      <c r="I62" s="21"/>
      <c r="J62" s="22"/>
    </row>
    <row r="63" spans="1:10" ht="13.2" x14ac:dyDescent="0.25">
      <c r="A63" s="17"/>
      <c r="B63" s="28">
        <v>3</v>
      </c>
      <c r="C63" s="29" t="s">
        <v>348</v>
      </c>
      <c r="D63" s="30" t="s">
        <v>15</v>
      </c>
      <c r="E63" s="60" t="s">
        <v>349</v>
      </c>
      <c r="F63" s="60" t="s">
        <v>350</v>
      </c>
      <c r="G63" s="60" t="s">
        <v>351</v>
      </c>
      <c r="H63" s="61">
        <f ca="1">IFERROR(__xludf.DUMMYFUNCTION("MAX(IF(REGEXMATCH(E63,""^\d{1,2},\d{2}$""),VALUE(E63),0),IF(REGEXMATCH(F63,""^\d{1,2},\d{2}$""),VALUE(F63),0),IF(REGEXMATCH(G63,""^\d{1,2},\d{2}$""),VALUE(G63),0))"),8.89)</f>
        <v>8.89</v>
      </c>
      <c r="I63" s="21"/>
      <c r="J63" s="22"/>
    </row>
    <row r="64" spans="1:10" ht="13.2" x14ac:dyDescent="0.25">
      <c r="A64" s="17"/>
      <c r="B64" s="28">
        <v>4</v>
      </c>
      <c r="C64" s="29" t="s">
        <v>189</v>
      </c>
      <c r="D64" s="30" t="s">
        <v>10</v>
      </c>
      <c r="E64" s="60" t="s">
        <v>352</v>
      </c>
      <c r="F64" s="60" t="s">
        <v>353</v>
      </c>
      <c r="G64" s="60" t="s">
        <v>354</v>
      </c>
      <c r="H64" s="61">
        <f ca="1">IFERROR(__xludf.DUMMYFUNCTION("MAX(IF(REGEXMATCH(E64,""^\d{1,2},\d{2}$""),VALUE(E64),0),IF(REGEXMATCH(F64,""^\d{1,2},\d{2}$""),VALUE(F64),0),IF(REGEXMATCH(G64,""^\d{1,2},\d{2}$""),VALUE(G64),0))"),7.65)</f>
        <v>7.65</v>
      </c>
      <c r="I64" s="21"/>
      <c r="J64" s="22"/>
    </row>
    <row r="65" spans="1:10" ht="13.2" x14ac:dyDescent="0.25">
      <c r="A65" s="17"/>
      <c r="B65" s="28">
        <v>5</v>
      </c>
      <c r="C65" s="29"/>
      <c r="D65" s="30"/>
      <c r="E65" s="60"/>
      <c r="F65" s="60"/>
      <c r="G65" s="60"/>
      <c r="H65" s="61">
        <f ca="1">IFERROR(__xludf.DUMMYFUNCTION("MAX(IF(REGEXMATCH(E65,""^\d{1,2},\d{2}$""),VALUE(E65),0),IF(REGEXMATCH(F65,""^\d{1,2},\d{2}$""),VALUE(F65),0),IF(REGEXMATCH(G65,""^\d{1,2},\d{2}$""),VALUE(G65),0))"),0)</f>
        <v>0</v>
      </c>
      <c r="I65" s="21"/>
      <c r="J65" s="22"/>
    </row>
    <row r="66" spans="1:10" ht="13.2" x14ac:dyDescent="0.25">
      <c r="A66" s="17"/>
      <c r="B66" s="62" t="s">
        <v>18</v>
      </c>
      <c r="C66" s="36"/>
      <c r="D66" s="44" t="s">
        <v>190</v>
      </c>
      <c r="E66" s="38"/>
      <c r="F66" s="38"/>
      <c r="G66" s="38"/>
      <c r="H66" s="63"/>
      <c r="I66" s="21"/>
      <c r="J66" s="22"/>
    </row>
    <row r="67" spans="1:10" ht="13.2" x14ac:dyDescent="0.25">
      <c r="A67" s="17"/>
      <c r="B67" s="17"/>
      <c r="D67" s="18"/>
      <c r="E67" s="18"/>
      <c r="F67" s="18"/>
      <c r="G67" s="18"/>
      <c r="H67" s="58"/>
      <c r="I67" s="21"/>
      <c r="J67" s="22"/>
    </row>
    <row r="68" spans="1:10" ht="15.6" x14ac:dyDescent="0.25">
      <c r="A68" s="23">
        <v>9</v>
      </c>
      <c r="B68" s="97" t="s">
        <v>37</v>
      </c>
      <c r="C68" s="98"/>
      <c r="D68" s="98"/>
      <c r="E68" s="98"/>
      <c r="F68" s="98"/>
      <c r="G68" s="98"/>
      <c r="H68" s="59"/>
      <c r="I68" s="25">
        <f ca="1">IF(COUNTIFS(H69:H73,"&gt;0") &gt; 3, FLOOR((SUM(H69:H73)-MIN(H69,H70,H71,H72,H73))/4,0.0001), )</f>
        <v>8.0724999999999998</v>
      </c>
      <c r="J68" s="26">
        <f ca="1">IF(I68=0,"",RANK(I68,$I$4:$I$224,))</f>
        <v>9</v>
      </c>
    </row>
    <row r="69" spans="1:10" ht="13.2" x14ac:dyDescent="0.25">
      <c r="A69" s="17"/>
      <c r="B69" s="28">
        <v>1</v>
      </c>
      <c r="C69" s="29" t="s">
        <v>38</v>
      </c>
      <c r="D69" s="30" t="s">
        <v>10</v>
      </c>
      <c r="E69" s="60" t="s">
        <v>355</v>
      </c>
      <c r="F69" s="60" t="s">
        <v>356</v>
      </c>
      <c r="G69" s="60" t="s">
        <v>357</v>
      </c>
      <c r="H69" s="61">
        <f ca="1">IFERROR(__xludf.DUMMYFUNCTION("MAX(IF(REGEXMATCH(E69,""^\d{1,2},\d{2}$""),VALUE(E69),0),IF(REGEXMATCH(F69,""^\d{1,2},\d{2}$""),VALUE(F69),0),IF(REGEXMATCH(G69,""^\d{1,2},\d{2}$""),VALUE(G69),0))"),8.65)</f>
        <v>8.65</v>
      </c>
      <c r="I69" s="21"/>
      <c r="J69" s="22"/>
    </row>
    <row r="70" spans="1:10" ht="13.2" x14ac:dyDescent="0.25">
      <c r="A70" s="17"/>
      <c r="B70" s="28">
        <v>2</v>
      </c>
      <c r="C70" s="29" t="s">
        <v>358</v>
      </c>
      <c r="D70" s="30" t="s">
        <v>10</v>
      </c>
      <c r="E70" s="60" t="s">
        <v>359</v>
      </c>
      <c r="F70" s="60" t="s">
        <v>360</v>
      </c>
      <c r="G70" s="60" t="s">
        <v>361</v>
      </c>
      <c r="H70" s="61">
        <f ca="1">IFERROR(__xludf.DUMMYFUNCTION("MAX(IF(REGEXMATCH(E70,""^\d{1,2},\d{2}$""),VALUE(E70),0),IF(REGEXMATCH(F70,""^\d{1,2},\d{2}$""),VALUE(F70),0),IF(REGEXMATCH(G70,""^\d{1,2},\d{2}$""),VALUE(G70),0))"),8.14)</f>
        <v>8.14</v>
      </c>
      <c r="I70" s="21"/>
      <c r="J70" s="22"/>
    </row>
    <row r="71" spans="1:10" ht="13.2" x14ac:dyDescent="0.25">
      <c r="A71" s="17"/>
      <c r="B71" s="28">
        <v>3</v>
      </c>
      <c r="C71" s="29" t="s">
        <v>362</v>
      </c>
      <c r="D71" s="30" t="s">
        <v>15</v>
      </c>
      <c r="E71" s="60" t="s">
        <v>363</v>
      </c>
      <c r="F71" s="60" t="s">
        <v>353</v>
      </c>
      <c r="G71" s="60" t="s">
        <v>280</v>
      </c>
      <c r="H71" s="61">
        <f ca="1">IFERROR(__xludf.DUMMYFUNCTION("MAX(IF(REGEXMATCH(E71,""^\d{1,2},\d{2}$""),VALUE(E71),0),IF(REGEXMATCH(F71,""^\d{1,2},\d{2}$""),VALUE(F71),0),IF(REGEXMATCH(G71,""^\d{1,2},\d{2}$""),VALUE(G71),0))"),7.36)</f>
        <v>7.36</v>
      </c>
      <c r="I71" s="21"/>
      <c r="J71" s="22"/>
    </row>
    <row r="72" spans="1:10" ht="13.2" x14ac:dyDescent="0.25">
      <c r="A72" s="17"/>
      <c r="B72" s="28">
        <v>4</v>
      </c>
      <c r="C72" s="29" t="s">
        <v>364</v>
      </c>
      <c r="D72" s="30" t="s">
        <v>10</v>
      </c>
      <c r="E72" s="60" t="s">
        <v>285</v>
      </c>
      <c r="F72" s="60" t="s">
        <v>365</v>
      </c>
      <c r="G72" s="60" t="s">
        <v>360</v>
      </c>
      <c r="H72" s="61">
        <f ca="1">IFERROR(__xludf.DUMMYFUNCTION("MAX(IF(REGEXMATCH(E72,""^\d{1,2},\d{2}$""),VALUE(E72),0),IF(REGEXMATCH(F72,""^\d{1,2},\d{2}$""),VALUE(F72),0),IF(REGEXMATCH(G72,""^\d{1,2},\d{2}$""),VALUE(G72),0))"),8.14)</f>
        <v>8.14</v>
      </c>
      <c r="I72" s="21"/>
      <c r="J72" s="22"/>
    </row>
    <row r="73" spans="1:10" ht="13.2" x14ac:dyDescent="0.25">
      <c r="A73" s="17"/>
      <c r="B73" s="28">
        <v>5</v>
      </c>
      <c r="C73" s="29" t="s">
        <v>168</v>
      </c>
      <c r="D73" s="30" t="s">
        <v>15</v>
      </c>
      <c r="E73" s="60" t="s">
        <v>352</v>
      </c>
      <c r="F73" s="60" t="s">
        <v>366</v>
      </c>
      <c r="G73" s="60" t="s">
        <v>302</v>
      </c>
      <c r="H73" s="61">
        <f ca="1">IFERROR(__xludf.DUMMYFUNCTION("MAX(IF(REGEXMATCH(E73,""^\d{1,2},\d{2}$""),VALUE(E73),0),IF(REGEXMATCH(F73,""^\d{1,2},\d{2}$""),VALUE(F73),0),IF(REGEXMATCH(G73,""^\d{1,2},\d{2}$""),VALUE(G73),0))"),7)</f>
        <v>7</v>
      </c>
      <c r="I73" s="21"/>
      <c r="J73" s="22"/>
    </row>
    <row r="74" spans="1:10" ht="13.2" x14ac:dyDescent="0.25">
      <c r="A74" s="17"/>
      <c r="B74" s="62" t="s">
        <v>18</v>
      </c>
      <c r="C74" s="36"/>
      <c r="D74" s="44" t="s">
        <v>45</v>
      </c>
      <c r="E74" s="38"/>
      <c r="F74" s="38"/>
      <c r="G74" s="38"/>
      <c r="H74" s="63"/>
      <c r="I74" s="21"/>
      <c r="J74" s="22"/>
    </row>
    <row r="75" spans="1:10" ht="13.2" x14ac:dyDescent="0.25">
      <c r="A75" s="17"/>
      <c r="B75" s="17"/>
      <c r="D75" s="18"/>
      <c r="E75" s="18"/>
      <c r="F75" s="18"/>
      <c r="G75" s="18"/>
      <c r="H75" s="58"/>
      <c r="I75" s="21"/>
      <c r="J75" s="22"/>
    </row>
    <row r="76" spans="1:10" ht="15.6" x14ac:dyDescent="0.25">
      <c r="A76" s="23">
        <v>10</v>
      </c>
      <c r="B76" s="97"/>
      <c r="C76" s="98"/>
      <c r="D76" s="98"/>
      <c r="E76" s="98"/>
      <c r="F76" s="98"/>
      <c r="G76" s="98"/>
      <c r="H76" s="59"/>
      <c r="I76" s="25">
        <f ca="1">IF(COUNTIFS(H77:H81,"&gt;0") &gt; 3, FLOOR((SUM(H77:H81)-MIN(H77,H78,H79,H80,H81))/4,0.0001), )</f>
        <v>0</v>
      </c>
      <c r="J76" s="26" t="str">
        <f ca="1">IF(I76=0,"",RANK(I76,$I$4:$I$224,))</f>
        <v/>
      </c>
    </row>
    <row r="77" spans="1:10" ht="13.2" x14ac:dyDescent="0.25">
      <c r="A77" s="17"/>
      <c r="B77" s="28">
        <v>1</v>
      </c>
      <c r="C77" s="29"/>
      <c r="D77" s="30"/>
      <c r="E77" s="60"/>
      <c r="F77" s="60"/>
      <c r="G77" s="60"/>
      <c r="H77" s="61">
        <f ca="1">IFERROR(__xludf.DUMMYFUNCTION("MAX(IF(REGEXMATCH(E77,""^\d{1,2},\d{2}$""),VALUE(E77),0),IF(REGEXMATCH(F77,""^\d{1,2},\d{2}$""),VALUE(F77),0),IF(REGEXMATCH(G77,""^\d{1,2},\d{2}$""),VALUE(G77),0))"),0)</f>
        <v>0</v>
      </c>
      <c r="I77" s="21"/>
      <c r="J77" s="22"/>
    </row>
    <row r="78" spans="1:10" ht="13.2" x14ac:dyDescent="0.25">
      <c r="A78" s="17"/>
      <c r="B78" s="28">
        <v>2</v>
      </c>
      <c r="C78" s="29"/>
      <c r="D78" s="30"/>
      <c r="E78" s="60"/>
      <c r="F78" s="60"/>
      <c r="G78" s="60"/>
      <c r="H78" s="61">
        <f ca="1">IFERROR(__xludf.DUMMYFUNCTION("MAX(IF(REGEXMATCH(E78,""^\d{1,2},\d{2}$""),VALUE(E78),0),IF(REGEXMATCH(F78,""^\d{1,2},\d{2}$""),VALUE(F78),0),IF(REGEXMATCH(G78,""^\d{1,2},\d{2}$""),VALUE(G78),0))"),0)</f>
        <v>0</v>
      </c>
      <c r="I78" s="21"/>
      <c r="J78" s="22"/>
    </row>
    <row r="79" spans="1:10" ht="13.2" x14ac:dyDescent="0.25">
      <c r="A79" s="17"/>
      <c r="B79" s="28">
        <v>3</v>
      </c>
      <c r="C79" s="29"/>
      <c r="D79" s="30"/>
      <c r="E79" s="60"/>
      <c r="F79" s="60"/>
      <c r="G79" s="60"/>
      <c r="H79" s="61">
        <f ca="1">IFERROR(__xludf.DUMMYFUNCTION("MAX(IF(REGEXMATCH(E79,""^\d{1,2},\d{2}$""),VALUE(E79),0),IF(REGEXMATCH(F79,""^\d{1,2},\d{2}$""),VALUE(F79),0),IF(REGEXMATCH(G79,""^\d{1,2},\d{2}$""),VALUE(G79),0))"),0)</f>
        <v>0</v>
      </c>
      <c r="I79" s="21"/>
      <c r="J79" s="22"/>
    </row>
    <row r="80" spans="1:10" ht="13.2" x14ac:dyDescent="0.25">
      <c r="A80" s="17"/>
      <c r="B80" s="28">
        <v>4</v>
      </c>
      <c r="C80" s="29"/>
      <c r="D80" s="30"/>
      <c r="E80" s="60"/>
      <c r="F80" s="60"/>
      <c r="G80" s="60"/>
      <c r="H80" s="61">
        <f ca="1">IFERROR(__xludf.DUMMYFUNCTION("MAX(IF(REGEXMATCH(E80,""^\d{1,2},\d{2}$""),VALUE(E80),0),IF(REGEXMATCH(F80,""^\d{1,2},\d{2}$""),VALUE(F80),0),IF(REGEXMATCH(G80,""^\d{1,2},\d{2}$""),VALUE(G80),0))"),0)</f>
        <v>0</v>
      </c>
      <c r="I80" s="21"/>
      <c r="J80" s="22"/>
    </row>
    <row r="81" spans="1:10" ht="13.2" x14ac:dyDescent="0.25">
      <c r="A81" s="17"/>
      <c r="B81" s="28">
        <v>5</v>
      </c>
      <c r="C81" s="29"/>
      <c r="D81" s="30"/>
      <c r="E81" s="60"/>
      <c r="F81" s="60"/>
      <c r="G81" s="60"/>
      <c r="H81" s="61">
        <f ca="1">IFERROR(__xludf.DUMMYFUNCTION("MAX(IF(REGEXMATCH(E81,""^\d{1,2},\d{2}$""),VALUE(E81),0),IF(REGEXMATCH(F81,""^\d{1,2},\d{2}$""),VALUE(F81),0),IF(REGEXMATCH(G81,""^\d{1,2},\d{2}$""),VALUE(G81),0))"),0)</f>
        <v>0</v>
      </c>
      <c r="I81" s="21"/>
      <c r="J81" s="22"/>
    </row>
    <row r="82" spans="1:10" ht="13.2" x14ac:dyDescent="0.25">
      <c r="A82" s="17"/>
      <c r="B82" s="62" t="s">
        <v>18</v>
      </c>
      <c r="C82" s="36"/>
      <c r="D82" s="44"/>
      <c r="E82" s="38"/>
      <c r="F82" s="38"/>
      <c r="G82" s="38"/>
      <c r="H82" s="63"/>
      <c r="I82" s="21"/>
      <c r="J82" s="22"/>
    </row>
    <row r="83" spans="1:10" ht="13.2" x14ac:dyDescent="0.25">
      <c r="A83" s="17"/>
      <c r="B83" s="17"/>
      <c r="D83" s="18"/>
      <c r="E83" s="18"/>
      <c r="F83" s="18"/>
      <c r="G83" s="18"/>
      <c r="H83" s="58"/>
      <c r="I83" s="21"/>
      <c r="J83" s="22"/>
    </row>
    <row r="84" spans="1:10" ht="15.6" x14ac:dyDescent="0.25">
      <c r="A84" s="23">
        <v>11</v>
      </c>
      <c r="B84" s="97"/>
      <c r="C84" s="98"/>
      <c r="D84" s="98"/>
      <c r="E84" s="98"/>
      <c r="F84" s="98"/>
      <c r="G84" s="98"/>
      <c r="H84" s="59"/>
      <c r="I84" s="25">
        <f ca="1">IF(COUNTIFS(H85:H89,"&gt;0") &gt; 3, FLOOR((SUM(H85:H89)-MIN(H85,H86,H87,H88,H89))/4,0.0001), )</f>
        <v>0</v>
      </c>
      <c r="J84" s="26" t="str">
        <f ca="1">IF(I84=0,"",RANK(I84,$I$4:$I$224,))</f>
        <v/>
      </c>
    </row>
    <row r="85" spans="1:10" ht="13.2" x14ac:dyDescent="0.25">
      <c r="A85" s="17"/>
      <c r="B85" s="28">
        <v>1</v>
      </c>
      <c r="C85" s="29"/>
      <c r="D85" s="30"/>
      <c r="E85" s="60"/>
      <c r="F85" s="60"/>
      <c r="G85" s="60"/>
      <c r="H85" s="61">
        <f ca="1">IFERROR(__xludf.DUMMYFUNCTION("MAX(IF(REGEXMATCH(E85,""^\d{1,2},\d{2}$""),VALUE(E85),0),IF(REGEXMATCH(F85,""^\d{1,2},\d{2}$""),VALUE(F85),0),IF(REGEXMATCH(G85,""^\d{1,2},\d{2}$""),VALUE(G85),0))"),0)</f>
        <v>0</v>
      </c>
      <c r="I85" s="21"/>
      <c r="J85" s="22"/>
    </row>
    <row r="86" spans="1:10" ht="13.2" x14ac:dyDescent="0.25">
      <c r="A86" s="17"/>
      <c r="B86" s="28">
        <v>2</v>
      </c>
      <c r="C86" s="29"/>
      <c r="D86" s="30"/>
      <c r="E86" s="60"/>
      <c r="F86" s="60"/>
      <c r="G86" s="60"/>
      <c r="H86" s="61">
        <f ca="1">IFERROR(__xludf.DUMMYFUNCTION("MAX(IF(REGEXMATCH(E86,""^\d{1,2},\d{2}$""),VALUE(E86),0),IF(REGEXMATCH(F86,""^\d{1,2},\d{2}$""),VALUE(F86),0),IF(REGEXMATCH(G86,""^\d{1,2},\d{2}$""),VALUE(G86),0))"),0)</f>
        <v>0</v>
      </c>
      <c r="I86" s="21"/>
      <c r="J86" s="22"/>
    </row>
    <row r="87" spans="1:10" ht="13.2" x14ac:dyDescent="0.25">
      <c r="A87" s="17"/>
      <c r="B87" s="28">
        <v>3</v>
      </c>
      <c r="C87" s="29"/>
      <c r="D87" s="30"/>
      <c r="E87" s="60"/>
      <c r="F87" s="60"/>
      <c r="G87" s="60"/>
      <c r="H87" s="61">
        <f ca="1">IFERROR(__xludf.DUMMYFUNCTION("MAX(IF(REGEXMATCH(E87,""^\d{1,2},\d{2}$""),VALUE(E87),0),IF(REGEXMATCH(F87,""^\d{1,2},\d{2}$""),VALUE(F87),0),IF(REGEXMATCH(G87,""^\d{1,2},\d{2}$""),VALUE(G87),0))"),0)</f>
        <v>0</v>
      </c>
      <c r="I87" s="21"/>
      <c r="J87" s="22"/>
    </row>
    <row r="88" spans="1:10" ht="13.2" x14ac:dyDescent="0.25">
      <c r="A88" s="17"/>
      <c r="B88" s="28">
        <v>4</v>
      </c>
      <c r="C88" s="29"/>
      <c r="D88" s="30"/>
      <c r="E88" s="60"/>
      <c r="F88" s="60"/>
      <c r="G88" s="60"/>
      <c r="H88" s="61">
        <f ca="1">IFERROR(__xludf.DUMMYFUNCTION("MAX(IF(REGEXMATCH(E88,""^\d{1,2},\d{2}$""),VALUE(E88),0),IF(REGEXMATCH(F88,""^\d{1,2},\d{2}$""),VALUE(F88),0),IF(REGEXMATCH(G88,""^\d{1,2},\d{2}$""),VALUE(G88),0))"),0)</f>
        <v>0</v>
      </c>
      <c r="I88" s="21"/>
      <c r="J88" s="22"/>
    </row>
    <row r="89" spans="1:10" ht="13.2" x14ac:dyDescent="0.25">
      <c r="A89" s="17"/>
      <c r="B89" s="28">
        <v>5</v>
      </c>
      <c r="C89" s="29"/>
      <c r="D89" s="30"/>
      <c r="E89" s="60"/>
      <c r="F89" s="60"/>
      <c r="G89" s="60"/>
      <c r="H89" s="61">
        <f ca="1">IFERROR(__xludf.DUMMYFUNCTION("MAX(IF(REGEXMATCH(E89,""^\d{1,2},\d{2}$""),VALUE(E89),0),IF(REGEXMATCH(F89,""^\d{1,2},\d{2}$""),VALUE(F89),0),IF(REGEXMATCH(G89,""^\d{1,2},\d{2}$""),VALUE(G89),0))"),0)</f>
        <v>0</v>
      </c>
      <c r="I89" s="21"/>
      <c r="J89" s="22"/>
    </row>
    <row r="90" spans="1:10" ht="13.2" x14ac:dyDescent="0.25">
      <c r="A90" s="17"/>
      <c r="B90" s="62" t="s">
        <v>18</v>
      </c>
      <c r="C90" s="36"/>
      <c r="D90" s="44"/>
      <c r="E90" s="38"/>
      <c r="F90" s="38"/>
      <c r="G90" s="38"/>
      <c r="H90" s="63"/>
      <c r="I90" s="21"/>
      <c r="J90" s="22"/>
    </row>
    <row r="91" spans="1:10" ht="13.2" x14ac:dyDescent="0.25">
      <c r="A91" s="17"/>
      <c r="B91" s="17"/>
      <c r="D91" s="18"/>
      <c r="E91" s="18"/>
      <c r="F91" s="18"/>
      <c r="G91" s="18"/>
      <c r="H91" s="58"/>
      <c r="I91" s="21"/>
      <c r="J91" s="22"/>
    </row>
    <row r="92" spans="1:10" ht="15.6" x14ac:dyDescent="0.25">
      <c r="A92" s="23">
        <v>12</v>
      </c>
      <c r="B92" s="97"/>
      <c r="C92" s="98"/>
      <c r="D92" s="98"/>
      <c r="E92" s="98"/>
      <c r="F92" s="98"/>
      <c r="G92" s="98"/>
      <c r="H92" s="59"/>
      <c r="I92" s="25">
        <f ca="1">IF(COUNTIFS(H93:H97,"&gt;0") &gt; 3, FLOOR((SUM(H93:H97)-MIN(H93,H94,H95,H96,H97))/4,0.0001), )</f>
        <v>0</v>
      </c>
      <c r="J92" s="26" t="str">
        <f ca="1">IF(I92=0,"",RANK(I92,$I$4:$I$224,))</f>
        <v/>
      </c>
    </row>
    <row r="93" spans="1:10" ht="13.2" x14ac:dyDescent="0.25">
      <c r="A93" s="17"/>
      <c r="B93" s="28">
        <v>1</v>
      </c>
      <c r="C93" s="29"/>
      <c r="D93" s="30"/>
      <c r="E93" s="60"/>
      <c r="F93" s="60"/>
      <c r="G93" s="60"/>
      <c r="H93" s="61">
        <f ca="1">IFERROR(__xludf.DUMMYFUNCTION("MAX(IF(REGEXMATCH(E93,""^\d{1,2},\d{2}$""),VALUE(E93),0),IF(REGEXMATCH(F93,""^\d{1,2},\d{2}$""),VALUE(F93),0),IF(REGEXMATCH(G93,""^\d{1,2},\d{2}$""),VALUE(G93),0))"),0)</f>
        <v>0</v>
      </c>
      <c r="I93" s="21"/>
      <c r="J93" s="22"/>
    </row>
    <row r="94" spans="1:10" ht="13.2" x14ac:dyDescent="0.25">
      <c r="A94" s="17"/>
      <c r="B94" s="28">
        <v>2</v>
      </c>
      <c r="C94" s="29"/>
      <c r="D94" s="30"/>
      <c r="E94" s="60"/>
      <c r="F94" s="60"/>
      <c r="G94" s="60"/>
      <c r="H94" s="61">
        <f ca="1">IFERROR(__xludf.DUMMYFUNCTION("MAX(IF(REGEXMATCH(E94,""^\d{1,2},\d{2}$""),VALUE(E94),0),IF(REGEXMATCH(F94,""^\d{1,2},\d{2}$""),VALUE(F94),0),IF(REGEXMATCH(G94,""^\d{1,2},\d{2}$""),VALUE(G94),0))"),0)</f>
        <v>0</v>
      </c>
      <c r="I94" s="21"/>
      <c r="J94" s="22"/>
    </row>
    <row r="95" spans="1:10" ht="13.2" x14ac:dyDescent="0.25">
      <c r="A95" s="17"/>
      <c r="B95" s="28">
        <v>3</v>
      </c>
      <c r="C95" s="29"/>
      <c r="D95" s="30"/>
      <c r="E95" s="60"/>
      <c r="F95" s="60"/>
      <c r="G95" s="60"/>
      <c r="H95" s="61">
        <f ca="1">IFERROR(__xludf.DUMMYFUNCTION("MAX(IF(REGEXMATCH(E95,""^\d{1,2},\d{2}$""),VALUE(E95),0),IF(REGEXMATCH(F95,""^\d{1,2},\d{2}$""),VALUE(F95),0),IF(REGEXMATCH(G95,""^\d{1,2},\d{2}$""),VALUE(G95),0))"),0)</f>
        <v>0</v>
      </c>
      <c r="I95" s="21"/>
      <c r="J95" s="22"/>
    </row>
    <row r="96" spans="1:10" ht="13.2" x14ac:dyDescent="0.25">
      <c r="A96" s="17"/>
      <c r="B96" s="28">
        <v>4</v>
      </c>
      <c r="C96" s="29"/>
      <c r="D96" s="30"/>
      <c r="E96" s="60"/>
      <c r="F96" s="60"/>
      <c r="G96" s="60"/>
      <c r="H96" s="61">
        <f ca="1">IFERROR(__xludf.DUMMYFUNCTION("MAX(IF(REGEXMATCH(E96,""^\d{1,2},\d{2}$""),VALUE(E96),0),IF(REGEXMATCH(F96,""^\d{1,2},\d{2}$""),VALUE(F96),0),IF(REGEXMATCH(G96,""^\d{1,2},\d{2}$""),VALUE(G96),0))"),0)</f>
        <v>0</v>
      </c>
      <c r="I96" s="21"/>
      <c r="J96" s="22"/>
    </row>
    <row r="97" spans="1:10" ht="13.2" x14ac:dyDescent="0.25">
      <c r="A97" s="17"/>
      <c r="B97" s="28">
        <v>5</v>
      </c>
      <c r="C97" s="29"/>
      <c r="D97" s="30"/>
      <c r="E97" s="60"/>
      <c r="F97" s="60"/>
      <c r="G97" s="60"/>
      <c r="H97" s="61">
        <f ca="1">IFERROR(__xludf.DUMMYFUNCTION("MAX(IF(REGEXMATCH(E97,""^\d{1,2},\d{2}$""),VALUE(E97),0),IF(REGEXMATCH(F97,""^\d{1,2},\d{2}$""),VALUE(F97),0),IF(REGEXMATCH(G97,""^\d{1,2},\d{2}$""),VALUE(G97),0))"),0)</f>
        <v>0</v>
      </c>
      <c r="I97" s="21"/>
      <c r="J97" s="22"/>
    </row>
    <row r="98" spans="1:10" ht="13.2" x14ac:dyDescent="0.25">
      <c r="A98" s="17"/>
      <c r="B98" s="62" t="s">
        <v>18</v>
      </c>
      <c r="C98" s="36"/>
      <c r="D98" s="44"/>
      <c r="E98" s="38"/>
      <c r="F98" s="38"/>
      <c r="G98" s="38"/>
      <c r="H98" s="63"/>
      <c r="I98" s="21"/>
      <c r="J98" s="22"/>
    </row>
    <row r="99" spans="1:10" ht="13.2" x14ac:dyDescent="0.25">
      <c r="A99" s="17"/>
      <c r="B99" s="17"/>
      <c r="D99" s="18"/>
      <c r="E99" s="18"/>
      <c r="F99" s="18"/>
      <c r="G99" s="18"/>
      <c r="H99" s="58"/>
      <c r="I99" s="21"/>
      <c r="J99" s="22"/>
    </row>
    <row r="100" spans="1:10" ht="15.6" x14ac:dyDescent="0.25">
      <c r="A100" s="23">
        <v>13</v>
      </c>
      <c r="B100" s="97"/>
      <c r="C100" s="98"/>
      <c r="D100" s="98"/>
      <c r="E100" s="98"/>
      <c r="F100" s="98"/>
      <c r="G100" s="98"/>
      <c r="H100" s="59"/>
      <c r="I100" s="25">
        <f ca="1">IF(COUNTIFS(H101:H105,"&gt;0") &gt; 3, FLOOR((SUM(H101:H105)-MIN(H101,H102,H103,H104,H105))/4,0.0001), )</f>
        <v>0</v>
      </c>
      <c r="J100" s="26" t="str">
        <f ca="1">IF(I100=0,"",RANK(I100,$I$4:$I$224,))</f>
        <v/>
      </c>
    </row>
    <row r="101" spans="1:10" ht="13.2" x14ac:dyDescent="0.25">
      <c r="A101" s="17"/>
      <c r="B101" s="28">
        <v>1</v>
      </c>
      <c r="C101" s="29"/>
      <c r="D101" s="30"/>
      <c r="E101" s="60"/>
      <c r="F101" s="60"/>
      <c r="G101" s="60"/>
      <c r="H101" s="61">
        <f ca="1">IFERROR(__xludf.DUMMYFUNCTION("MAX(IF(REGEXMATCH(E101,""^\d{1,2},\d{2}$""),VALUE(E101),0),IF(REGEXMATCH(F101,""^\d{1,2},\d{2}$""),VALUE(F101),0),IF(REGEXMATCH(G101,""^\d{1,2},\d{2}$""),VALUE(G101),0))"),0)</f>
        <v>0</v>
      </c>
      <c r="I101" s="21"/>
      <c r="J101" s="22"/>
    </row>
    <row r="102" spans="1:10" ht="13.2" x14ac:dyDescent="0.25">
      <c r="A102" s="17"/>
      <c r="B102" s="28">
        <v>2</v>
      </c>
      <c r="C102" s="29"/>
      <c r="D102" s="30"/>
      <c r="E102" s="60"/>
      <c r="F102" s="60"/>
      <c r="G102" s="60"/>
      <c r="H102" s="61">
        <f ca="1">IFERROR(__xludf.DUMMYFUNCTION("MAX(IF(REGEXMATCH(E102,""^\d{1,2},\d{2}$""),VALUE(E102),0),IF(REGEXMATCH(F102,""^\d{1,2},\d{2}$""),VALUE(F102),0),IF(REGEXMATCH(G102,""^\d{1,2},\d{2}$""),VALUE(G102),0))"),0)</f>
        <v>0</v>
      </c>
      <c r="I102" s="21"/>
      <c r="J102" s="22"/>
    </row>
    <row r="103" spans="1:10" ht="13.2" x14ac:dyDescent="0.25">
      <c r="A103" s="17"/>
      <c r="B103" s="28">
        <v>3</v>
      </c>
      <c r="C103" s="29"/>
      <c r="D103" s="30"/>
      <c r="E103" s="60"/>
      <c r="F103" s="60"/>
      <c r="G103" s="60"/>
      <c r="H103" s="61">
        <f ca="1">IFERROR(__xludf.DUMMYFUNCTION("MAX(IF(REGEXMATCH(E103,""^\d{1,2},\d{2}$""),VALUE(E103),0),IF(REGEXMATCH(F103,""^\d{1,2},\d{2}$""),VALUE(F103),0),IF(REGEXMATCH(G103,""^\d{1,2},\d{2}$""),VALUE(G103),0))"),0)</f>
        <v>0</v>
      </c>
      <c r="I103" s="21"/>
      <c r="J103" s="22"/>
    </row>
    <row r="104" spans="1:10" ht="13.2" x14ac:dyDescent="0.25">
      <c r="A104" s="17"/>
      <c r="B104" s="28">
        <v>4</v>
      </c>
      <c r="C104" s="29"/>
      <c r="D104" s="30"/>
      <c r="E104" s="60"/>
      <c r="F104" s="60"/>
      <c r="G104" s="60"/>
      <c r="H104" s="61">
        <f ca="1">IFERROR(__xludf.DUMMYFUNCTION("MAX(IF(REGEXMATCH(E104,""^\d{1,2},\d{2}$""),VALUE(E104),0),IF(REGEXMATCH(F104,""^\d{1,2},\d{2}$""),VALUE(F104),0),IF(REGEXMATCH(G104,""^\d{1,2},\d{2}$""),VALUE(G104),0))"),0)</f>
        <v>0</v>
      </c>
      <c r="I104" s="21"/>
      <c r="J104" s="22"/>
    </row>
    <row r="105" spans="1:10" ht="13.2" x14ac:dyDescent="0.25">
      <c r="A105" s="17"/>
      <c r="B105" s="28">
        <v>5</v>
      </c>
      <c r="C105" s="29"/>
      <c r="D105" s="30"/>
      <c r="E105" s="60"/>
      <c r="F105" s="60"/>
      <c r="G105" s="60"/>
      <c r="H105" s="61">
        <f ca="1">IFERROR(__xludf.DUMMYFUNCTION("MAX(IF(REGEXMATCH(E105,""^\d{1,2},\d{2}$""),VALUE(E105),0),IF(REGEXMATCH(F105,""^\d{1,2},\d{2}$""),VALUE(F105),0),IF(REGEXMATCH(G105,""^\d{1,2},\d{2}$""),VALUE(G105),0))"),0)</f>
        <v>0</v>
      </c>
      <c r="I105" s="21"/>
      <c r="J105" s="22"/>
    </row>
    <row r="106" spans="1:10" ht="13.2" x14ac:dyDescent="0.25">
      <c r="A106" s="17"/>
      <c r="B106" s="17"/>
      <c r="D106" s="18"/>
      <c r="E106" s="18"/>
      <c r="F106" s="18"/>
      <c r="G106" s="18"/>
      <c r="H106" s="58"/>
      <c r="I106" s="21"/>
      <c r="J106" s="22"/>
    </row>
    <row r="107" spans="1:10" ht="13.2" x14ac:dyDescent="0.25">
      <c r="A107" s="17"/>
      <c r="B107" s="17"/>
      <c r="D107" s="18"/>
      <c r="E107" s="18"/>
      <c r="F107" s="18"/>
      <c r="G107" s="18"/>
      <c r="H107" s="58"/>
      <c r="I107" s="21"/>
      <c r="J107" s="22"/>
    </row>
    <row r="108" spans="1:10" ht="15.6" x14ac:dyDescent="0.25">
      <c r="A108" s="23">
        <v>14</v>
      </c>
      <c r="B108" s="97"/>
      <c r="C108" s="98"/>
      <c r="D108" s="98"/>
      <c r="E108" s="98"/>
      <c r="F108" s="98"/>
      <c r="G108" s="98"/>
      <c r="H108" s="59"/>
      <c r="I108" s="25">
        <f ca="1">IF(COUNTIFS(H109:H113,"&gt;0") &gt; 3, FLOOR((SUM(H109:H113)-MIN(H109,H110,H111,H112,H113))/4,0.0001), )</f>
        <v>0</v>
      </c>
      <c r="J108" s="26" t="str">
        <f ca="1">IF(I108=0,"",RANK(I108,$I$4:$I$224,))</f>
        <v/>
      </c>
    </row>
    <row r="109" spans="1:10" ht="13.2" x14ac:dyDescent="0.25">
      <c r="A109" s="17"/>
      <c r="B109" s="28">
        <v>1</v>
      </c>
      <c r="C109" s="29"/>
      <c r="D109" s="30"/>
      <c r="E109" s="60"/>
      <c r="F109" s="60"/>
      <c r="G109" s="60"/>
      <c r="H109" s="61">
        <f ca="1">IFERROR(__xludf.DUMMYFUNCTION("MAX(IF(REGEXMATCH(E109,""^\d{1,2},\d{2}$""),VALUE(E109),0),IF(REGEXMATCH(F109,""^\d{1,2},\d{2}$""),VALUE(F109),0),IF(REGEXMATCH(G109,""^\d{1,2},\d{2}$""),VALUE(G109),0))"),0)</f>
        <v>0</v>
      </c>
      <c r="I109" s="21"/>
      <c r="J109" s="22"/>
    </row>
    <row r="110" spans="1:10" ht="13.2" x14ac:dyDescent="0.25">
      <c r="A110" s="17"/>
      <c r="B110" s="28">
        <v>2</v>
      </c>
      <c r="C110" s="29"/>
      <c r="D110" s="30"/>
      <c r="E110" s="60"/>
      <c r="F110" s="60"/>
      <c r="G110" s="60"/>
      <c r="H110" s="61">
        <f ca="1">IFERROR(__xludf.DUMMYFUNCTION("MAX(IF(REGEXMATCH(E110,""^\d{1,2},\d{2}$""),VALUE(E110),0),IF(REGEXMATCH(F110,""^\d{1,2},\d{2}$""),VALUE(F110),0),IF(REGEXMATCH(G110,""^\d{1,2},\d{2}$""),VALUE(G110),0))"),0)</f>
        <v>0</v>
      </c>
      <c r="I110" s="21"/>
      <c r="J110" s="22"/>
    </row>
    <row r="111" spans="1:10" ht="13.2" x14ac:dyDescent="0.25">
      <c r="A111" s="17"/>
      <c r="B111" s="28">
        <v>3</v>
      </c>
      <c r="C111" s="29"/>
      <c r="D111" s="30"/>
      <c r="E111" s="60"/>
      <c r="F111" s="60"/>
      <c r="G111" s="60"/>
      <c r="H111" s="61">
        <f ca="1">IFERROR(__xludf.DUMMYFUNCTION("MAX(IF(REGEXMATCH(E111,""^\d{1,2},\d{2}$""),VALUE(E111),0),IF(REGEXMATCH(F111,""^\d{1,2},\d{2}$""),VALUE(F111),0),IF(REGEXMATCH(G111,""^\d{1,2},\d{2}$""),VALUE(G111),0))"),0)</f>
        <v>0</v>
      </c>
      <c r="I111" s="21"/>
      <c r="J111" s="22"/>
    </row>
    <row r="112" spans="1:10" ht="13.2" x14ac:dyDescent="0.25">
      <c r="A112" s="17"/>
      <c r="B112" s="28">
        <v>4</v>
      </c>
      <c r="C112" s="29"/>
      <c r="D112" s="30"/>
      <c r="E112" s="60"/>
      <c r="F112" s="60"/>
      <c r="G112" s="60"/>
      <c r="H112" s="61">
        <f ca="1">IFERROR(__xludf.DUMMYFUNCTION("MAX(IF(REGEXMATCH(E112,""^\d{1,2},\d{2}$""),VALUE(E112),0),IF(REGEXMATCH(F112,""^\d{1,2},\d{2}$""),VALUE(F112),0),IF(REGEXMATCH(G112,""^\d{1,2},\d{2}$""),VALUE(G112),0))"),0)</f>
        <v>0</v>
      </c>
      <c r="I112" s="21"/>
      <c r="J112" s="22"/>
    </row>
    <row r="113" spans="1:10" ht="13.2" x14ac:dyDescent="0.25">
      <c r="A113" s="17"/>
      <c r="B113" s="28">
        <v>5</v>
      </c>
      <c r="C113" s="29"/>
      <c r="D113" s="30"/>
      <c r="E113" s="60"/>
      <c r="F113" s="60"/>
      <c r="G113" s="60"/>
      <c r="H113" s="61">
        <f ca="1">IFERROR(__xludf.DUMMYFUNCTION("MAX(IF(REGEXMATCH(E113,""^\d{1,2},\d{2}$""),VALUE(E113),0),IF(REGEXMATCH(F113,""^\d{1,2},\d{2}$""),VALUE(F113),0),IF(REGEXMATCH(G113,""^\d{1,2},\d{2}$""),VALUE(G113),0))"),0)</f>
        <v>0</v>
      </c>
      <c r="I113" s="21"/>
      <c r="J113" s="22"/>
    </row>
    <row r="114" spans="1:10" ht="13.2" x14ac:dyDescent="0.25">
      <c r="A114" s="17"/>
      <c r="B114" s="62" t="s">
        <v>18</v>
      </c>
      <c r="C114" s="36"/>
      <c r="D114" s="44"/>
      <c r="E114" s="38"/>
      <c r="F114" s="38"/>
      <c r="G114" s="38"/>
      <c r="H114" s="63"/>
      <c r="I114" s="21"/>
      <c r="J114" s="22"/>
    </row>
    <row r="115" spans="1:10" ht="13.2" x14ac:dyDescent="0.25">
      <c r="A115" s="17"/>
      <c r="B115" s="17"/>
      <c r="D115" s="18"/>
      <c r="E115" s="18"/>
      <c r="F115" s="18"/>
      <c r="G115" s="18"/>
      <c r="H115" s="58"/>
      <c r="I115" s="21"/>
      <c r="J115" s="22"/>
    </row>
    <row r="116" spans="1:10" ht="15.6" x14ac:dyDescent="0.25">
      <c r="A116" s="23">
        <v>15</v>
      </c>
      <c r="B116" s="97"/>
      <c r="C116" s="98"/>
      <c r="D116" s="98"/>
      <c r="E116" s="98"/>
      <c r="F116" s="98"/>
      <c r="G116" s="98"/>
      <c r="H116" s="59"/>
      <c r="I116" s="25">
        <f ca="1">IF(COUNTIFS(H117:H121,"&gt;0") &gt; 3, FLOOR((SUM(H117:H121)-MIN(H117,H118,H119,H120,H121))/4,0.0001), )</f>
        <v>0</v>
      </c>
      <c r="J116" s="26" t="str">
        <f ca="1">IF(I116=0,"",RANK(I116,$I$4:$I$224,))</f>
        <v/>
      </c>
    </row>
    <row r="117" spans="1:10" ht="13.2" x14ac:dyDescent="0.25">
      <c r="A117" s="17"/>
      <c r="B117" s="28">
        <v>1</v>
      </c>
      <c r="C117" s="29"/>
      <c r="D117" s="30"/>
      <c r="E117" s="60"/>
      <c r="F117" s="60"/>
      <c r="G117" s="60"/>
      <c r="H117" s="61">
        <f ca="1">IFERROR(__xludf.DUMMYFUNCTION("MAX(IF(REGEXMATCH(E117,""^\d{1,2},\d{2}$""),VALUE(E117),0),IF(REGEXMATCH(F117,""^\d{1,2},\d{2}$""),VALUE(F117),0),IF(REGEXMATCH(G117,""^\d{1,2},\d{2}$""),VALUE(G117),0))"),0)</f>
        <v>0</v>
      </c>
      <c r="I117" s="21"/>
      <c r="J117" s="22"/>
    </row>
    <row r="118" spans="1:10" ht="13.2" x14ac:dyDescent="0.25">
      <c r="A118" s="17"/>
      <c r="B118" s="28">
        <v>2</v>
      </c>
      <c r="C118" s="29"/>
      <c r="D118" s="30"/>
      <c r="E118" s="60"/>
      <c r="F118" s="60"/>
      <c r="G118" s="60"/>
      <c r="H118" s="61">
        <f ca="1">IFERROR(__xludf.DUMMYFUNCTION("MAX(IF(REGEXMATCH(E118,""^\d{1,2},\d{2}$""),VALUE(E118),0),IF(REGEXMATCH(F118,""^\d{1,2},\d{2}$""),VALUE(F118),0),IF(REGEXMATCH(G118,""^\d{1,2},\d{2}$""),VALUE(G118),0))"),0)</f>
        <v>0</v>
      </c>
      <c r="I118" s="21"/>
      <c r="J118" s="22"/>
    </row>
    <row r="119" spans="1:10" ht="13.2" x14ac:dyDescent="0.25">
      <c r="A119" s="17"/>
      <c r="B119" s="28">
        <v>3</v>
      </c>
      <c r="C119" s="29"/>
      <c r="D119" s="30"/>
      <c r="E119" s="60"/>
      <c r="F119" s="60"/>
      <c r="G119" s="60"/>
      <c r="H119" s="61">
        <f ca="1">IFERROR(__xludf.DUMMYFUNCTION("MAX(IF(REGEXMATCH(E119,""^\d{1,2},\d{2}$""),VALUE(E119),0),IF(REGEXMATCH(F119,""^\d{1,2},\d{2}$""),VALUE(F119),0),IF(REGEXMATCH(G119,""^\d{1,2},\d{2}$""),VALUE(G119),0))"),0)</f>
        <v>0</v>
      </c>
      <c r="I119" s="21"/>
      <c r="J119" s="22"/>
    </row>
    <row r="120" spans="1:10" ht="13.2" x14ac:dyDescent="0.25">
      <c r="A120" s="17"/>
      <c r="B120" s="28">
        <v>4</v>
      </c>
      <c r="C120" s="29"/>
      <c r="D120" s="30"/>
      <c r="E120" s="60"/>
      <c r="F120" s="60"/>
      <c r="G120" s="60"/>
      <c r="H120" s="61">
        <f ca="1">IFERROR(__xludf.DUMMYFUNCTION("MAX(IF(REGEXMATCH(E120,""^\d{1,2},\d{2}$""),VALUE(E120),0),IF(REGEXMATCH(F120,""^\d{1,2},\d{2}$""),VALUE(F120),0),IF(REGEXMATCH(G120,""^\d{1,2},\d{2}$""),VALUE(G120),0))"),0)</f>
        <v>0</v>
      </c>
      <c r="I120" s="21"/>
      <c r="J120" s="22"/>
    </row>
    <row r="121" spans="1:10" ht="13.2" x14ac:dyDescent="0.25">
      <c r="A121" s="17"/>
      <c r="B121" s="28">
        <v>5</v>
      </c>
      <c r="C121" s="29"/>
      <c r="D121" s="30"/>
      <c r="E121" s="60"/>
      <c r="F121" s="60"/>
      <c r="G121" s="60"/>
      <c r="H121" s="61">
        <f ca="1">IFERROR(__xludf.DUMMYFUNCTION("MAX(IF(REGEXMATCH(E121,""^\d{1,2},\d{2}$""),VALUE(E121),0),IF(REGEXMATCH(F121,""^\d{1,2},\d{2}$""),VALUE(F121),0),IF(REGEXMATCH(G121,""^\d{1,2},\d{2}$""),VALUE(G121),0))"),0)</f>
        <v>0</v>
      </c>
      <c r="I121" s="21"/>
      <c r="J121" s="22"/>
    </row>
    <row r="122" spans="1:10" ht="13.2" x14ac:dyDescent="0.25">
      <c r="A122" s="17"/>
      <c r="B122" s="62" t="s">
        <v>18</v>
      </c>
      <c r="C122" s="36"/>
      <c r="D122" s="44"/>
      <c r="E122" s="38"/>
      <c r="F122" s="38"/>
      <c r="G122" s="38"/>
      <c r="H122" s="63"/>
      <c r="I122" s="21"/>
      <c r="J122" s="22"/>
    </row>
    <row r="123" spans="1:10" ht="13.2" x14ac:dyDescent="0.25">
      <c r="A123" s="17"/>
      <c r="B123" s="17"/>
      <c r="D123" s="18"/>
      <c r="E123" s="18"/>
      <c r="F123" s="18"/>
      <c r="G123" s="18"/>
      <c r="H123" s="58"/>
      <c r="I123" s="21"/>
      <c r="J123" s="22"/>
    </row>
    <row r="124" spans="1:10" ht="15.6" x14ac:dyDescent="0.25">
      <c r="A124" s="23">
        <v>16</v>
      </c>
      <c r="B124" s="97"/>
      <c r="C124" s="98"/>
      <c r="D124" s="98"/>
      <c r="E124" s="98"/>
      <c r="F124" s="98"/>
      <c r="G124" s="98"/>
      <c r="H124" s="59"/>
      <c r="I124" s="25">
        <f ca="1">IF(COUNTIFS(H125:H129,"&gt;0") &gt; 3, FLOOR((SUM(H125:H129)-MIN(H125,H126,H127,H128,H129))/4,0.0001), )</f>
        <v>0</v>
      </c>
      <c r="J124" s="26" t="str">
        <f ca="1">IF(I124=0,"",RANK(I124,$I$4:$I$224,))</f>
        <v/>
      </c>
    </row>
    <row r="125" spans="1:10" ht="13.2" x14ac:dyDescent="0.25">
      <c r="A125" s="17"/>
      <c r="B125" s="28">
        <v>1</v>
      </c>
      <c r="C125" s="29"/>
      <c r="D125" s="30"/>
      <c r="E125" s="60"/>
      <c r="F125" s="60"/>
      <c r="G125" s="60"/>
      <c r="H125" s="61">
        <f ca="1">IFERROR(__xludf.DUMMYFUNCTION("MAX(IF(REGEXMATCH(E125,""^\d{1,2},\d{2}$""),VALUE(E125),0),IF(REGEXMATCH(F125,""^\d{1,2},\d{2}$""),VALUE(F125),0),IF(REGEXMATCH(G125,""^\d{1,2},\d{2}$""),VALUE(G125),0))"),0)</f>
        <v>0</v>
      </c>
      <c r="I125" s="21"/>
      <c r="J125" s="22"/>
    </row>
    <row r="126" spans="1:10" ht="13.2" x14ac:dyDescent="0.25">
      <c r="A126" s="17"/>
      <c r="B126" s="28">
        <v>2</v>
      </c>
      <c r="C126" s="29"/>
      <c r="D126" s="30"/>
      <c r="E126" s="60"/>
      <c r="F126" s="60"/>
      <c r="G126" s="60"/>
      <c r="H126" s="61">
        <f ca="1">IFERROR(__xludf.DUMMYFUNCTION("MAX(IF(REGEXMATCH(E126,""^\d{1,2},\d{2}$""),VALUE(E126),0),IF(REGEXMATCH(F126,""^\d{1,2},\d{2}$""),VALUE(F126),0),IF(REGEXMATCH(G126,""^\d{1,2},\d{2}$""),VALUE(G126),0))"),0)</f>
        <v>0</v>
      </c>
      <c r="I126" s="21"/>
      <c r="J126" s="22"/>
    </row>
    <row r="127" spans="1:10" ht="13.2" x14ac:dyDescent="0.25">
      <c r="A127" s="17"/>
      <c r="B127" s="28">
        <v>3</v>
      </c>
      <c r="C127" s="29"/>
      <c r="D127" s="30"/>
      <c r="E127" s="60"/>
      <c r="F127" s="60"/>
      <c r="G127" s="60"/>
      <c r="H127" s="61">
        <f ca="1">IFERROR(__xludf.DUMMYFUNCTION("MAX(IF(REGEXMATCH(E127,""^\d{1,2},\d{2}$""),VALUE(E127),0),IF(REGEXMATCH(F127,""^\d{1,2},\d{2}$""),VALUE(F127),0),IF(REGEXMATCH(G127,""^\d{1,2},\d{2}$""),VALUE(G127),0))"),0)</f>
        <v>0</v>
      </c>
      <c r="I127" s="21"/>
      <c r="J127" s="22"/>
    </row>
    <row r="128" spans="1:10" ht="13.2" x14ac:dyDescent="0.25">
      <c r="A128" s="17"/>
      <c r="B128" s="28">
        <v>4</v>
      </c>
      <c r="C128" s="29"/>
      <c r="D128" s="30"/>
      <c r="E128" s="60"/>
      <c r="F128" s="60"/>
      <c r="G128" s="60"/>
      <c r="H128" s="61">
        <f ca="1">IFERROR(__xludf.DUMMYFUNCTION("MAX(IF(REGEXMATCH(E128,""^\d{1,2},\d{2}$""),VALUE(E128),0),IF(REGEXMATCH(F128,""^\d{1,2},\d{2}$""),VALUE(F128),0),IF(REGEXMATCH(G128,""^\d{1,2},\d{2}$""),VALUE(G128),0))"),0)</f>
        <v>0</v>
      </c>
      <c r="I128" s="21"/>
      <c r="J128" s="22"/>
    </row>
    <row r="129" spans="1:10" ht="13.2" x14ac:dyDescent="0.25">
      <c r="A129" s="17"/>
      <c r="B129" s="28">
        <v>5</v>
      </c>
      <c r="C129" s="29"/>
      <c r="D129" s="30"/>
      <c r="E129" s="60"/>
      <c r="F129" s="60"/>
      <c r="G129" s="60"/>
      <c r="H129" s="61">
        <f ca="1">IFERROR(__xludf.DUMMYFUNCTION("MAX(IF(REGEXMATCH(E129,""^\d{1,2},\d{2}$""),VALUE(E129),0),IF(REGEXMATCH(F129,""^\d{1,2},\d{2}$""),VALUE(F129),0),IF(REGEXMATCH(G129,""^\d{1,2},\d{2}$""),VALUE(G129),0))"),0)</f>
        <v>0</v>
      </c>
      <c r="I129" s="21"/>
      <c r="J129" s="22"/>
    </row>
    <row r="130" spans="1:10" ht="13.2" x14ac:dyDescent="0.25">
      <c r="A130" s="17"/>
      <c r="B130" s="62" t="s">
        <v>18</v>
      </c>
      <c r="C130" s="36"/>
      <c r="D130" s="44"/>
      <c r="E130" s="38"/>
      <c r="F130" s="38"/>
      <c r="G130" s="38"/>
      <c r="H130" s="63"/>
      <c r="I130" s="21"/>
      <c r="J130" s="22"/>
    </row>
    <row r="131" spans="1:10" ht="13.2" x14ac:dyDescent="0.25">
      <c r="A131" s="17"/>
      <c r="B131" s="17"/>
      <c r="D131" s="18"/>
      <c r="E131" s="18"/>
      <c r="F131" s="18"/>
      <c r="G131" s="18"/>
      <c r="H131" s="58"/>
      <c r="I131" s="21"/>
      <c r="J131" s="22"/>
    </row>
    <row r="132" spans="1:10" ht="15.6" x14ac:dyDescent="0.25">
      <c r="A132" s="23">
        <v>17</v>
      </c>
      <c r="B132" s="97"/>
      <c r="C132" s="98"/>
      <c r="D132" s="98"/>
      <c r="E132" s="98"/>
      <c r="F132" s="98"/>
      <c r="G132" s="98"/>
      <c r="H132" s="59"/>
      <c r="I132" s="25">
        <f ca="1">IF(COUNTIFS(H133:H137,"&gt;0") &gt; 3, FLOOR((SUM(H133:H137)-MIN(H133,H134,H135,H136,H137))/4,0.0001), )</f>
        <v>0</v>
      </c>
      <c r="J132" s="26" t="str">
        <f ca="1">IF(I132=0,"",RANK(I132,$I$4:$I$224,))</f>
        <v/>
      </c>
    </row>
    <row r="133" spans="1:10" ht="13.2" x14ac:dyDescent="0.25">
      <c r="A133" s="17"/>
      <c r="B133" s="28">
        <v>1</v>
      </c>
      <c r="C133" s="29"/>
      <c r="D133" s="30"/>
      <c r="E133" s="60"/>
      <c r="F133" s="60"/>
      <c r="G133" s="60"/>
      <c r="H133" s="61">
        <f ca="1">IFERROR(__xludf.DUMMYFUNCTION("MAX(IF(REGEXMATCH(E133,""^\d{1,2},\d{2}$""),VALUE(E133),0),IF(REGEXMATCH(F133,""^\d{1,2},\d{2}$""),VALUE(F133),0),IF(REGEXMATCH(G133,""^\d{1,2},\d{2}$""),VALUE(G133),0))"),0)</f>
        <v>0</v>
      </c>
      <c r="I133" s="21"/>
      <c r="J133" s="22"/>
    </row>
    <row r="134" spans="1:10" ht="13.2" x14ac:dyDescent="0.25">
      <c r="A134" s="17"/>
      <c r="B134" s="28">
        <v>2</v>
      </c>
      <c r="C134" s="29"/>
      <c r="D134" s="30"/>
      <c r="E134" s="60"/>
      <c r="F134" s="60"/>
      <c r="G134" s="60"/>
      <c r="H134" s="61">
        <f ca="1">IFERROR(__xludf.DUMMYFUNCTION("MAX(IF(REGEXMATCH(E134,""^\d{1,2},\d{2}$""),VALUE(E134),0),IF(REGEXMATCH(F134,""^\d{1,2},\d{2}$""),VALUE(F134),0),IF(REGEXMATCH(G134,""^\d{1,2},\d{2}$""),VALUE(G134),0))"),0)</f>
        <v>0</v>
      </c>
      <c r="I134" s="21"/>
      <c r="J134" s="22"/>
    </row>
    <row r="135" spans="1:10" ht="13.2" x14ac:dyDescent="0.25">
      <c r="A135" s="17"/>
      <c r="B135" s="28">
        <v>3</v>
      </c>
      <c r="C135" s="29"/>
      <c r="D135" s="30"/>
      <c r="E135" s="60"/>
      <c r="F135" s="60"/>
      <c r="G135" s="60"/>
      <c r="H135" s="61">
        <f ca="1">IFERROR(__xludf.DUMMYFUNCTION("MAX(IF(REGEXMATCH(E135,""^\d{1,2},\d{2}$""),VALUE(E135),0),IF(REGEXMATCH(F135,""^\d{1,2},\d{2}$""),VALUE(F135),0),IF(REGEXMATCH(G135,""^\d{1,2},\d{2}$""),VALUE(G135),0))"),0)</f>
        <v>0</v>
      </c>
      <c r="I135" s="21"/>
      <c r="J135" s="22"/>
    </row>
    <row r="136" spans="1:10" ht="13.2" x14ac:dyDescent="0.25">
      <c r="A136" s="17"/>
      <c r="B136" s="28">
        <v>4</v>
      </c>
      <c r="C136" s="29"/>
      <c r="D136" s="30"/>
      <c r="E136" s="60"/>
      <c r="F136" s="60"/>
      <c r="G136" s="60"/>
      <c r="H136" s="61">
        <f ca="1">IFERROR(__xludf.DUMMYFUNCTION("MAX(IF(REGEXMATCH(E136,""^\d{1,2},\d{2}$""),VALUE(E136),0),IF(REGEXMATCH(F136,""^\d{1,2},\d{2}$""),VALUE(F136),0),IF(REGEXMATCH(G136,""^\d{1,2},\d{2}$""),VALUE(G136),0))"),0)</f>
        <v>0</v>
      </c>
      <c r="I136" s="21"/>
      <c r="J136" s="22"/>
    </row>
    <row r="137" spans="1:10" ht="13.2" x14ac:dyDescent="0.25">
      <c r="A137" s="17"/>
      <c r="B137" s="28">
        <v>5</v>
      </c>
      <c r="C137" s="29"/>
      <c r="D137" s="30"/>
      <c r="E137" s="60"/>
      <c r="F137" s="60"/>
      <c r="G137" s="60"/>
      <c r="H137" s="61">
        <f ca="1">IFERROR(__xludf.DUMMYFUNCTION("MAX(IF(REGEXMATCH(E137,""^\d{1,2},\d{2}$""),VALUE(E137),0),IF(REGEXMATCH(F137,""^\d{1,2},\d{2}$""),VALUE(F137),0),IF(REGEXMATCH(G137,""^\d{1,2},\d{2}$""),VALUE(G137),0))"),0)</f>
        <v>0</v>
      </c>
      <c r="I137" s="21"/>
      <c r="J137" s="22"/>
    </row>
    <row r="138" spans="1:10" ht="13.2" x14ac:dyDescent="0.25">
      <c r="A138" s="17"/>
      <c r="B138" s="62" t="s">
        <v>18</v>
      </c>
      <c r="C138" s="36"/>
      <c r="D138" s="44"/>
      <c r="E138" s="38"/>
      <c r="F138" s="38"/>
      <c r="G138" s="38"/>
      <c r="H138" s="63"/>
      <c r="I138" s="21"/>
      <c r="J138" s="22"/>
    </row>
    <row r="139" spans="1:10" ht="13.2" x14ac:dyDescent="0.25">
      <c r="A139" s="17"/>
      <c r="B139" s="17"/>
      <c r="D139" s="18"/>
      <c r="E139" s="18"/>
      <c r="F139" s="18"/>
      <c r="G139" s="18"/>
      <c r="H139" s="58"/>
      <c r="I139" s="21"/>
      <c r="J139" s="22"/>
    </row>
    <row r="140" spans="1:10" ht="15.6" x14ac:dyDescent="0.25">
      <c r="A140" s="23">
        <v>18</v>
      </c>
      <c r="B140" s="97"/>
      <c r="C140" s="98"/>
      <c r="D140" s="98"/>
      <c r="E140" s="98"/>
      <c r="F140" s="98"/>
      <c r="G140" s="98"/>
      <c r="H140" s="59"/>
      <c r="I140" s="25">
        <f ca="1">IF(COUNTIFS(H141:H145,"&gt;0") &gt; 3, FLOOR((SUM(H141:H145)-MIN(H141,H142,H143,H144,H145))/4,0.0001), )</f>
        <v>0</v>
      </c>
      <c r="J140" s="26" t="str">
        <f ca="1">IF(I140=0,"",RANK(I140,$I$4:$I$224,))</f>
        <v/>
      </c>
    </row>
    <row r="141" spans="1:10" ht="13.2" x14ac:dyDescent="0.25">
      <c r="A141" s="17"/>
      <c r="B141" s="28">
        <v>1</v>
      </c>
      <c r="C141" s="29"/>
      <c r="D141" s="30"/>
      <c r="E141" s="60"/>
      <c r="F141" s="60"/>
      <c r="G141" s="60"/>
      <c r="H141" s="61">
        <f ca="1">IFERROR(__xludf.DUMMYFUNCTION("MAX(IF(REGEXMATCH(E141,""^\d{1,2},\d{2}$""),VALUE(E141),0),IF(REGEXMATCH(F141,""^\d{1,2},\d{2}$""),VALUE(F141),0),IF(REGEXMATCH(G141,""^\d{1,2},\d{2}$""),VALUE(G141),0))"),0)</f>
        <v>0</v>
      </c>
      <c r="I141" s="21"/>
      <c r="J141" s="22"/>
    </row>
    <row r="142" spans="1:10" ht="13.2" x14ac:dyDescent="0.25">
      <c r="A142" s="17"/>
      <c r="B142" s="28">
        <v>2</v>
      </c>
      <c r="C142" s="29"/>
      <c r="D142" s="30"/>
      <c r="E142" s="60"/>
      <c r="F142" s="60"/>
      <c r="G142" s="60"/>
      <c r="H142" s="61">
        <f ca="1">IFERROR(__xludf.DUMMYFUNCTION("MAX(IF(REGEXMATCH(E142,""^\d{1,2},\d{2}$""),VALUE(E142),0),IF(REGEXMATCH(F142,""^\d{1,2},\d{2}$""),VALUE(F142),0),IF(REGEXMATCH(G142,""^\d{1,2},\d{2}$""),VALUE(G142),0))"),0)</f>
        <v>0</v>
      </c>
      <c r="I142" s="21"/>
      <c r="J142" s="22"/>
    </row>
    <row r="143" spans="1:10" ht="13.2" x14ac:dyDescent="0.25">
      <c r="A143" s="17"/>
      <c r="B143" s="28">
        <v>3</v>
      </c>
      <c r="C143" s="29"/>
      <c r="D143" s="30"/>
      <c r="E143" s="60"/>
      <c r="F143" s="60"/>
      <c r="G143" s="60"/>
      <c r="H143" s="61">
        <f ca="1">IFERROR(__xludf.DUMMYFUNCTION("MAX(IF(REGEXMATCH(E143,""^\d{1,2},\d{2}$""),VALUE(E143),0),IF(REGEXMATCH(F143,""^\d{1,2},\d{2}$""),VALUE(F143),0),IF(REGEXMATCH(G143,""^\d{1,2},\d{2}$""),VALUE(G143),0))"),0)</f>
        <v>0</v>
      </c>
      <c r="I143" s="21"/>
      <c r="J143" s="22"/>
    </row>
    <row r="144" spans="1:10" ht="13.2" x14ac:dyDescent="0.25">
      <c r="A144" s="17"/>
      <c r="B144" s="28">
        <v>4</v>
      </c>
      <c r="C144" s="29"/>
      <c r="D144" s="30"/>
      <c r="E144" s="60"/>
      <c r="F144" s="60"/>
      <c r="G144" s="60"/>
      <c r="H144" s="61">
        <f ca="1">IFERROR(__xludf.DUMMYFUNCTION("MAX(IF(REGEXMATCH(E144,""^\d{1,2},\d{2}$""),VALUE(E144),0),IF(REGEXMATCH(F144,""^\d{1,2},\d{2}$""),VALUE(F144),0),IF(REGEXMATCH(G144,""^\d{1,2},\d{2}$""),VALUE(G144),0))"),0)</f>
        <v>0</v>
      </c>
      <c r="I144" s="21"/>
      <c r="J144" s="22"/>
    </row>
    <row r="145" spans="1:10" ht="13.2" x14ac:dyDescent="0.25">
      <c r="A145" s="17"/>
      <c r="B145" s="28">
        <v>5</v>
      </c>
      <c r="C145" s="29"/>
      <c r="D145" s="30"/>
      <c r="E145" s="60"/>
      <c r="F145" s="60"/>
      <c r="G145" s="60"/>
      <c r="H145" s="61">
        <f ca="1">IFERROR(__xludf.DUMMYFUNCTION("MAX(IF(REGEXMATCH(E145,""^\d{1,2},\d{2}$""),VALUE(E145),0),IF(REGEXMATCH(F145,""^\d{1,2},\d{2}$""),VALUE(F145),0),IF(REGEXMATCH(G145,""^\d{1,2},\d{2}$""),VALUE(G145),0))"),0)</f>
        <v>0</v>
      </c>
      <c r="I145" s="21"/>
      <c r="J145" s="22"/>
    </row>
    <row r="146" spans="1:10" ht="13.2" x14ac:dyDescent="0.25">
      <c r="A146" s="17"/>
      <c r="B146" s="62" t="s">
        <v>18</v>
      </c>
      <c r="C146" s="36"/>
      <c r="D146" s="44"/>
      <c r="E146" s="38"/>
      <c r="F146" s="38"/>
      <c r="G146" s="38"/>
      <c r="H146" s="63"/>
      <c r="I146" s="21"/>
      <c r="J146" s="22"/>
    </row>
    <row r="147" spans="1:10" ht="13.2" x14ac:dyDescent="0.25">
      <c r="A147" s="17"/>
      <c r="B147" s="17"/>
      <c r="D147" s="18"/>
      <c r="E147" s="18"/>
      <c r="F147" s="18"/>
      <c r="G147" s="18"/>
      <c r="H147" s="58"/>
      <c r="I147" s="21"/>
      <c r="J147" s="22"/>
    </row>
    <row r="148" spans="1:10" ht="15.6" x14ac:dyDescent="0.25">
      <c r="A148" s="23">
        <v>19</v>
      </c>
      <c r="B148" s="97"/>
      <c r="C148" s="98"/>
      <c r="D148" s="98"/>
      <c r="E148" s="98"/>
      <c r="F148" s="98"/>
      <c r="G148" s="98"/>
      <c r="H148" s="99"/>
      <c r="I148" s="25">
        <f ca="1">IF(COUNTIFS(H149:H153,"&gt;0") &gt; 3, FLOOR((SUM(H149:H153)-MIN(H149,H150,H151,H152,H153))/4,0.0001), )</f>
        <v>0</v>
      </c>
      <c r="J148" s="26" t="str">
        <f ca="1">IF(I148=0,"",RANK(I148,$I$4:$I$224,))</f>
        <v/>
      </c>
    </row>
    <row r="149" spans="1:10" ht="13.2" x14ac:dyDescent="0.25">
      <c r="A149" s="17"/>
      <c r="B149" s="28">
        <v>1</v>
      </c>
      <c r="C149" s="29"/>
      <c r="D149" s="30"/>
      <c r="E149" s="60"/>
      <c r="F149" s="60"/>
      <c r="G149" s="60"/>
      <c r="H149" s="61">
        <f ca="1">IFERROR(__xludf.DUMMYFUNCTION("MAX(IF(REGEXMATCH(E149,""^\d{1,2},\d{2}$""),VALUE(E149),0),IF(REGEXMATCH(F149,""^\d{1,2},\d{2}$""),VALUE(F149),0),IF(REGEXMATCH(G149,""^\d{1,2},\d{2}$""),VALUE(G149),0))"),0)</f>
        <v>0</v>
      </c>
      <c r="I149" s="21"/>
      <c r="J149" s="22"/>
    </row>
    <row r="150" spans="1:10" ht="13.2" x14ac:dyDescent="0.25">
      <c r="A150" s="17"/>
      <c r="B150" s="28">
        <v>2</v>
      </c>
      <c r="C150" s="29"/>
      <c r="D150" s="30"/>
      <c r="E150" s="60"/>
      <c r="F150" s="60"/>
      <c r="G150" s="60"/>
      <c r="H150" s="61">
        <f ca="1">IFERROR(__xludf.DUMMYFUNCTION("MAX(IF(REGEXMATCH(E150,""^\d{1,2},\d{2}$""),VALUE(E150),0),IF(REGEXMATCH(F150,""^\d{1,2},\d{2}$""),VALUE(F150),0),IF(REGEXMATCH(G150,""^\d{1,2},\d{2}$""),VALUE(G150),0))"),0)</f>
        <v>0</v>
      </c>
      <c r="I150" s="21"/>
      <c r="J150" s="22"/>
    </row>
    <row r="151" spans="1:10" ht="13.2" x14ac:dyDescent="0.25">
      <c r="A151" s="17"/>
      <c r="B151" s="28">
        <v>3</v>
      </c>
      <c r="C151" s="29"/>
      <c r="D151" s="30"/>
      <c r="E151" s="60"/>
      <c r="F151" s="60"/>
      <c r="G151" s="60"/>
      <c r="H151" s="61">
        <f ca="1">IFERROR(__xludf.DUMMYFUNCTION("MAX(IF(REGEXMATCH(E151,""^\d{1,2},\d{2}$""),VALUE(E151),0),IF(REGEXMATCH(F151,""^\d{1,2},\d{2}$""),VALUE(F151),0),IF(REGEXMATCH(G151,""^\d{1,2},\d{2}$""),VALUE(G151),0))"),0)</f>
        <v>0</v>
      </c>
      <c r="I151" s="21"/>
      <c r="J151" s="22"/>
    </row>
    <row r="152" spans="1:10" ht="13.2" x14ac:dyDescent="0.25">
      <c r="A152" s="17"/>
      <c r="B152" s="28">
        <v>4</v>
      </c>
      <c r="C152" s="29"/>
      <c r="D152" s="30"/>
      <c r="E152" s="60"/>
      <c r="F152" s="60"/>
      <c r="G152" s="60"/>
      <c r="H152" s="61">
        <f ca="1">IFERROR(__xludf.DUMMYFUNCTION("MAX(IF(REGEXMATCH(E152,""^\d{1,2},\d{2}$""),VALUE(E152),0),IF(REGEXMATCH(F152,""^\d{1,2},\d{2}$""),VALUE(F152),0),IF(REGEXMATCH(G152,""^\d{1,2},\d{2}$""),VALUE(G152),0))"),0)</f>
        <v>0</v>
      </c>
      <c r="I152" s="21"/>
      <c r="J152" s="22"/>
    </row>
    <row r="153" spans="1:10" ht="13.2" x14ac:dyDescent="0.25">
      <c r="A153" s="17"/>
      <c r="B153" s="28">
        <v>5</v>
      </c>
      <c r="C153" s="29"/>
      <c r="D153" s="30"/>
      <c r="E153" s="60"/>
      <c r="F153" s="60"/>
      <c r="G153" s="60"/>
      <c r="H153" s="61">
        <f ca="1">IFERROR(__xludf.DUMMYFUNCTION("MAX(IF(REGEXMATCH(E153,""^\d{1,2},\d{2}$""),VALUE(E153),0),IF(REGEXMATCH(F153,""^\d{1,2},\d{2}$""),VALUE(F153),0),IF(REGEXMATCH(G153,""^\d{1,2},\d{2}$""),VALUE(G153),0))"),0)</f>
        <v>0</v>
      </c>
      <c r="I153" s="21"/>
      <c r="J153" s="22"/>
    </row>
    <row r="154" spans="1:10" ht="13.2" x14ac:dyDescent="0.25">
      <c r="A154" s="17"/>
      <c r="B154" s="62" t="s">
        <v>18</v>
      </c>
      <c r="C154" s="36"/>
      <c r="D154" s="44"/>
      <c r="E154" s="38"/>
      <c r="F154" s="38"/>
      <c r="G154" s="38"/>
      <c r="H154" s="63"/>
      <c r="I154" s="21"/>
      <c r="J154" s="22"/>
    </row>
    <row r="155" spans="1:10" ht="13.2" x14ac:dyDescent="0.25">
      <c r="A155" s="17"/>
      <c r="B155" s="17"/>
      <c r="D155" s="18"/>
      <c r="E155" s="18"/>
      <c r="F155" s="18"/>
      <c r="G155" s="18"/>
      <c r="H155" s="58"/>
      <c r="I155" s="21"/>
      <c r="J155" s="22"/>
    </row>
    <row r="156" spans="1:10" ht="15.6" x14ac:dyDescent="0.25">
      <c r="A156" s="23">
        <v>20</v>
      </c>
      <c r="B156" s="97"/>
      <c r="C156" s="98"/>
      <c r="D156" s="98"/>
      <c r="E156" s="98"/>
      <c r="F156" s="98"/>
      <c r="G156" s="98"/>
      <c r="H156" s="59"/>
      <c r="I156" s="25">
        <f ca="1">IF(COUNTIFS(H157:H161,"&gt;0") &gt; 3, FLOOR((SUM(H157:H161)-MIN(H157,H158,H159,H160,H161))/4,0.0001), )</f>
        <v>0</v>
      </c>
      <c r="J156" s="26" t="str">
        <f ca="1">IF(I156=0,"",RANK(I156,$I$4:$I$224,))</f>
        <v/>
      </c>
    </row>
    <row r="157" spans="1:10" ht="13.2" x14ac:dyDescent="0.25">
      <c r="A157" s="17"/>
      <c r="B157" s="28">
        <v>1</v>
      </c>
      <c r="C157" s="29"/>
      <c r="D157" s="30"/>
      <c r="E157" s="60"/>
      <c r="F157" s="60"/>
      <c r="G157" s="60"/>
      <c r="H157" s="61">
        <f ca="1">IFERROR(__xludf.DUMMYFUNCTION("MAX(IF(REGEXMATCH(E157,""^\d{1,2},\d{2}$""),VALUE(E157),0),IF(REGEXMATCH(F157,""^\d{1,2},\d{2}$""),VALUE(F157),0),IF(REGEXMATCH(G157,""^\d{1,2},\d{2}$""),VALUE(G157),0))"),0)</f>
        <v>0</v>
      </c>
      <c r="I157" s="21"/>
      <c r="J157" s="22"/>
    </row>
    <row r="158" spans="1:10" ht="13.2" x14ac:dyDescent="0.25">
      <c r="A158" s="17"/>
      <c r="B158" s="28">
        <v>2</v>
      </c>
      <c r="C158" s="29"/>
      <c r="D158" s="30"/>
      <c r="E158" s="60"/>
      <c r="F158" s="60"/>
      <c r="G158" s="60"/>
      <c r="H158" s="61">
        <f ca="1">IFERROR(__xludf.DUMMYFUNCTION("MAX(IF(REGEXMATCH(E158,""^\d{1,2},\d{2}$""),VALUE(E158),0),IF(REGEXMATCH(F158,""^\d{1,2},\d{2}$""),VALUE(F158),0),IF(REGEXMATCH(G158,""^\d{1,2},\d{2}$""),VALUE(G158),0))"),0)</f>
        <v>0</v>
      </c>
      <c r="I158" s="21"/>
      <c r="J158" s="22"/>
    </row>
    <row r="159" spans="1:10" ht="13.2" x14ac:dyDescent="0.25">
      <c r="A159" s="17"/>
      <c r="B159" s="28">
        <v>3</v>
      </c>
      <c r="C159" s="29"/>
      <c r="D159" s="30"/>
      <c r="E159" s="60"/>
      <c r="F159" s="60"/>
      <c r="G159" s="60"/>
      <c r="H159" s="61">
        <f ca="1">IFERROR(__xludf.DUMMYFUNCTION("MAX(IF(REGEXMATCH(E159,""^\d{1,2},\d{2}$""),VALUE(E159),0),IF(REGEXMATCH(F159,""^\d{1,2},\d{2}$""),VALUE(F159),0),IF(REGEXMATCH(G159,""^\d{1,2},\d{2}$""),VALUE(G159),0))"),0)</f>
        <v>0</v>
      </c>
      <c r="I159" s="21"/>
      <c r="J159" s="22"/>
    </row>
    <row r="160" spans="1:10" ht="13.2" x14ac:dyDescent="0.25">
      <c r="A160" s="17"/>
      <c r="B160" s="28">
        <v>4</v>
      </c>
      <c r="C160" s="29"/>
      <c r="D160" s="30"/>
      <c r="E160" s="60"/>
      <c r="F160" s="60"/>
      <c r="G160" s="60"/>
      <c r="H160" s="61">
        <f ca="1">IFERROR(__xludf.DUMMYFUNCTION("MAX(IF(REGEXMATCH(E160,""^\d{1,2},\d{2}$""),VALUE(E160),0),IF(REGEXMATCH(F160,""^\d{1,2},\d{2}$""),VALUE(F160),0),IF(REGEXMATCH(G160,""^\d{1,2},\d{2}$""),VALUE(G160),0))"),0)</f>
        <v>0</v>
      </c>
      <c r="I160" s="21"/>
      <c r="J160" s="22"/>
    </row>
    <row r="161" spans="1:10" ht="13.2" x14ac:dyDescent="0.25">
      <c r="A161" s="17"/>
      <c r="B161" s="28">
        <v>5</v>
      </c>
      <c r="C161" s="29"/>
      <c r="D161" s="30"/>
      <c r="E161" s="60"/>
      <c r="F161" s="60"/>
      <c r="G161" s="60"/>
      <c r="H161" s="61">
        <f ca="1">IFERROR(__xludf.DUMMYFUNCTION("MAX(IF(REGEXMATCH(E161,""^\d{1,2},\d{2}$""),VALUE(E161),0),IF(REGEXMATCH(F161,""^\d{1,2},\d{2}$""),VALUE(F161),0),IF(REGEXMATCH(G161,""^\d{1,2},\d{2}$""),VALUE(G161),0))"),0)</f>
        <v>0</v>
      </c>
      <c r="I161" s="21"/>
      <c r="J161" s="22"/>
    </row>
    <row r="162" spans="1:10" ht="13.2" x14ac:dyDescent="0.25">
      <c r="A162" s="17"/>
      <c r="B162" s="62" t="s">
        <v>18</v>
      </c>
      <c r="C162" s="36"/>
      <c r="D162" s="44"/>
      <c r="E162" s="38"/>
      <c r="F162" s="38"/>
      <c r="G162" s="38"/>
      <c r="H162" s="63"/>
      <c r="I162" s="21"/>
      <c r="J162" s="22"/>
    </row>
    <row r="163" spans="1:10" ht="13.2" x14ac:dyDescent="0.25">
      <c r="A163" s="17"/>
      <c r="B163" s="17"/>
      <c r="D163" s="18"/>
      <c r="E163" s="18"/>
      <c r="F163" s="18"/>
      <c r="G163" s="18"/>
      <c r="H163" s="58"/>
      <c r="I163" s="21"/>
      <c r="J163" s="22"/>
    </row>
    <row r="164" spans="1:10" ht="15.6" x14ac:dyDescent="0.25">
      <c r="A164" s="23">
        <v>21</v>
      </c>
      <c r="B164" s="97"/>
      <c r="C164" s="98"/>
      <c r="D164" s="98"/>
      <c r="E164" s="98"/>
      <c r="F164" s="98"/>
      <c r="G164" s="98"/>
      <c r="H164" s="59"/>
      <c r="I164" s="25">
        <f ca="1">IF(COUNTIFS(H165:H169,"&gt;0") &gt; 3, FLOOR((SUM(H165:H169)-MIN(H165,H166,H167,H168,H169))/4,0.0001), )</f>
        <v>0</v>
      </c>
      <c r="J164" s="26" t="str">
        <f ca="1">IF(I164=0,"",RANK(I164,$I$4:$I$224,))</f>
        <v/>
      </c>
    </row>
    <row r="165" spans="1:10" ht="13.2" x14ac:dyDescent="0.25">
      <c r="A165" s="17"/>
      <c r="B165" s="28">
        <v>1</v>
      </c>
      <c r="C165" s="29"/>
      <c r="D165" s="30"/>
      <c r="E165" s="60"/>
      <c r="F165" s="60"/>
      <c r="G165" s="60"/>
      <c r="H165" s="61">
        <f ca="1">IFERROR(__xludf.DUMMYFUNCTION("MAX(IF(REGEXMATCH(E165,""^\d{1,2},\d{2}$""),VALUE(E165),0),IF(REGEXMATCH(F165,""^\d{1,2},\d{2}$""),VALUE(F165),0),IF(REGEXMATCH(G165,""^\d{1,2},\d{2}$""),VALUE(G165),0))"),0)</f>
        <v>0</v>
      </c>
      <c r="I165" s="21"/>
      <c r="J165" s="22"/>
    </row>
    <row r="166" spans="1:10" ht="13.2" x14ac:dyDescent="0.25">
      <c r="A166" s="17"/>
      <c r="B166" s="28">
        <v>2</v>
      </c>
      <c r="C166" s="29"/>
      <c r="D166" s="30"/>
      <c r="E166" s="60"/>
      <c r="F166" s="60"/>
      <c r="G166" s="60"/>
      <c r="H166" s="61">
        <f ca="1">IFERROR(__xludf.DUMMYFUNCTION("MAX(IF(REGEXMATCH(E166,""^\d{1,2},\d{2}$""),VALUE(E166),0),IF(REGEXMATCH(F166,""^\d{1,2},\d{2}$""),VALUE(F166),0),IF(REGEXMATCH(G166,""^\d{1,2},\d{2}$""),VALUE(G166),0))"),0)</f>
        <v>0</v>
      </c>
      <c r="I166" s="21"/>
      <c r="J166" s="22"/>
    </row>
    <row r="167" spans="1:10" ht="13.2" x14ac:dyDescent="0.25">
      <c r="A167" s="17"/>
      <c r="B167" s="28">
        <v>3</v>
      </c>
      <c r="C167" s="29"/>
      <c r="D167" s="30"/>
      <c r="E167" s="60"/>
      <c r="F167" s="60"/>
      <c r="G167" s="60"/>
      <c r="H167" s="61">
        <f ca="1">IFERROR(__xludf.DUMMYFUNCTION("MAX(IF(REGEXMATCH(E167,""^\d{1,2},\d{2}$""),VALUE(E167),0),IF(REGEXMATCH(F167,""^\d{1,2},\d{2}$""),VALUE(F167),0),IF(REGEXMATCH(G167,""^\d{1,2},\d{2}$""),VALUE(G167),0))"),0)</f>
        <v>0</v>
      </c>
      <c r="I167" s="21"/>
      <c r="J167" s="22"/>
    </row>
    <row r="168" spans="1:10" ht="13.2" x14ac:dyDescent="0.25">
      <c r="A168" s="17"/>
      <c r="B168" s="28">
        <v>4</v>
      </c>
      <c r="C168" s="29"/>
      <c r="D168" s="30"/>
      <c r="E168" s="60"/>
      <c r="F168" s="60"/>
      <c r="G168" s="60"/>
      <c r="H168" s="61">
        <f ca="1">IFERROR(__xludf.DUMMYFUNCTION("MAX(IF(REGEXMATCH(E168,""^\d{1,2},\d{2}$""),VALUE(E168),0),IF(REGEXMATCH(F168,""^\d{1,2},\d{2}$""),VALUE(F168),0),IF(REGEXMATCH(G168,""^\d{1,2},\d{2}$""),VALUE(G168),0))"),0)</f>
        <v>0</v>
      </c>
      <c r="I168" s="21"/>
      <c r="J168" s="22"/>
    </row>
    <row r="169" spans="1:10" ht="13.2" x14ac:dyDescent="0.25">
      <c r="A169" s="17"/>
      <c r="B169" s="28">
        <v>5</v>
      </c>
      <c r="C169" s="29"/>
      <c r="D169" s="30"/>
      <c r="E169" s="60"/>
      <c r="F169" s="60"/>
      <c r="G169" s="60"/>
      <c r="H169" s="61">
        <f ca="1">IFERROR(__xludf.DUMMYFUNCTION("MAX(IF(REGEXMATCH(E169,""^\d{1,2},\d{2}$""),VALUE(E169),0),IF(REGEXMATCH(F169,""^\d{1,2},\d{2}$""),VALUE(F169),0),IF(REGEXMATCH(G169,""^\d{1,2},\d{2}$""),VALUE(G169),0))"),0)</f>
        <v>0</v>
      </c>
      <c r="I169" s="21"/>
      <c r="J169" s="22"/>
    </row>
    <row r="170" spans="1:10" ht="13.2" x14ac:dyDescent="0.25">
      <c r="A170" s="17"/>
      <c r="B170" s="62" t="s">
        <v>18</v>
      </c>
      <c r="C170" s="36"/>
      <c r="D170" s="44"/>
      <c r="E170" s="38"/>
      <c r="F170" s="38"/>
      <c r="G170" s="38"/>
      <c r="H170" s="63"/>
      <c r="I170" s="21"/>
      <c r="J170" s="22"/>
    </row>
    <row r="171" spans="1:10" ht="13.2" x14ac:dyDescent="0.25">
      <c r="A171" s="17"/>
      <c r="B171" s="17"/>
      <c r="D171" s="18"/>
      <c r="E171" s="18"/>
      <c r="F171" s="18"/>
      <c r="G171" s="18"/>
      <c r="H171" s="58"/>
      <c r="I171" s="21"/>
      <c r="J171" s="22"/>
    </row>
    <row r="172" spans="1:10" ht="15.6" x14ac:dyDescent="0.25">
      <c r="A172" s="46">
        <v>22</v>
      </c>
      <c r="B172" s="97"/>
      <c r="C172" s="98"/>
      <c r="D172" s="98"/>
      <c r="E172" s="98"/>
      <c r="F172" s="98"/>
      <c r="G172" s="98"/>
      <c r="H172" s="59"/>
      <c r="I172" s="25">
        <f ca="1">IF(COUNTIFS(H173:H177,"&gt;0") &gt; 3, FLOOR((SUM(H173:H177)-MIN(H173,H174,H175,H176,H177))/4,0.0001), )</f>
        <v>0</v>
      </c>
      <c r="J172" s="26" t="str">
        <f ca="1">IF(I172=0,"",RANK(I172,$I$4:$I$224,))</f>
        <v/>
      </c>
    </row>
    <row r="173" spans="1:10" ht="13.2" x14ac:dyDescent="0.25">
      <c r="A173" s="52"/>
      <c r="B173" s="48">
        <v>1</v>
      </c>
      <c r="C173" s="49"/>
      <c r="D173" s="50"/>
      <c r="E173" s="60"/>
      <c r="F173" s="60"/>
      <c r="G173" s="60"/>
      <c r="H173" s="61">
        <f ca="1">IFERROR(__xludf.DUMMYFUNCTION("MAX(IF(REGEXMATCH(E173,""^\d{1,2},\d{2}$""),VALUE(E173),0),IF(REGEXMATCH(F173,""^\d{1,2},\d{2}$""),VALUE(F173),0),IF(REGEXMATCH(G173,""^\d{1,2},\d{2}$""),VALUE(G173),0))"),0)</f>
        <v>0</v>
      </c>
      <c r="I173" s="51"/>
      <c r="J173" s="52"/>
    </row>
    <row r="174" spans="1:10" ht="13.2" x14ac:dyDescent="0.25">
      <c r="A174" s="52"/>
      <c r="B174" s="48">
        <v>2</v>
      </c>
      <c r="C174" s="49"/>
      <c r="D174" s="50"/>
      <c r="E174" s="60"/>
      <c r="F174" s="60"/>
      <c r="G174" s="60"/>
      <c r="H174" s="61">
        <f ca="1">IFERROR(__xludf.DUMMYFUNCTION("MAX(IF(REGEXMATCH(E174,""^\d{1,2},\d{2}$""),VALUE(E174),0),IF(REGEXMATCH(F174,""^\d{1,2},\d{2}$""),VALUE(F174),0),IF(REGEXMATCH(G174,""^\d{1,2},\d{2}$""),VALUE(G174),0))"),0)</f>
        <v>0</v>
      </c>
      <c r="I174" s="51"/>
      <c r="J174" s="52"/>
    </row>
    <row r="175" spans="1:10" ht="13.2" x14ac:dyDescent="0.25">
      <c r="A175" s="52"/>
      <c r="B175" s="48">
        <v>3</v>
      </c>
      <c r="C175" s="49"/>
      <c r="D175" s="50"/>
      <c r="E175" s="60"/>
      <c r="F175" s="60"/>
      <c r="G175" s="60"/>
      <c r="H175" s="61">
        <f ca="1">IFERROR(__xludf.DUMMYFUNCTION("MAX(IF(REGEXMATCH(E175,""^\d{1,2},\d{2}$""),VALUE(E175),0),IF(REGEXMATCH(F175,""^\d{1,2},\d{2}$""),VALUE(F175),0),IF(REGEXMATCH(G175,""^\d{1,2},\d{2}$""),VALUE(G175),0))"),0)</f>
        <v>0</v>
      </c>
      <c r="I175" s="51"/>
      <c r="J175" s="52"/>
    </row>
    <row r="176" spans="1:10" ht="13.2" x14ac:dyDescent="0.25">
      <c r="A176" s="52"/>
      <c r="B176" s="48">
        <v>4</v>
      </c>
      <c r="C176" s="49"/>
      <c r="D176" s="50"/>
      <c r="E176" s="60"/>
      <c r="F176" s="60"/>
      <c r="G176" s="60"/>
      <c r="H176" s="61">
        <f ca="1">IFERROR(__xludf.DUMMYFUNCTION("MAX(IF(REGEXMATCH(E176,""^\d{1,2},\d{2}$""),VALUE(E176),0),IF(REGEXMATCH(F176,""^\d{1,2},\d{2}$""),VALUE(F176),0),IF(REGEXMATCH(G176,""^\d{1,2},\d{2}$""),VALUE(G176),0))"),0)</f>
        <v>0</v>
      </c>
      <c r="I176" s="51"/>
      <c r="J176" s="52"/>
    </row>
    <row r="177" spans="1:10" ht="13.2" x14ac:dyDescent="0.25">
      <c r="A177" s="52"/>
      <c r="B177" s="48">
        <v>5</v>
      </c>
      <c r="C177" s="49"/>
      <c r="D177" s="50"/>
      <c r="E177" s="60"/>
      <c r="F177" s="60"/>
      <c r="G177" s="60"/>
      <c r="H177" s="61">
        <f ca="1">IFERROR(__xludf.DUMMYFUNCTION("MAX(IF(REGEXMATCH(E177,""^\d{1,2},\d{2}$""),VALUE(E177),0),IF(REGEXMATCH(F177,""^\d{1,2},\d{2}$""),VALUE(F177),0),IF(REGEXMATCH(G177,""^\d{1,2},\d{2}$""),VALUE(G177),0))"),0)</f>
        <v>0</v>
      </c>
      <c r="I177" s="51"/>
      <c r="J177" s="52"/>
    </row>
    <row r="178" spans="1:10" ht="13.2" x14ac:dyDescent="0.25">
      <c r="A178" s="52"/>
      <c r="B178" s="62" t="s">
        <v>18</v>
      </c>
      <c r="C178" s="36"/>
      <c r="D178" s="44"/>
      <c r="E178" s="38"/>
      <c r="F178" s="38"/>
      <c r="G178" s="38"/>
      <c r="H178" s="63"/>
      <c r="I178" s="51"/>
      <c r="J178" s="52"/>
    </row>
    <row r="179" spans="1:10" ht="13.2" x14ac:dyDescent="0.25">
      <c r="A179" s="52"/>
      <c r="B179" s="52"/>
      <c r="C179" s="52"/>
      <c r="D179" s="53"/>
      <c r="E179" s="53"/>
      <c r="F179" s="53"/>
      <c r="G179" s="53"/>
      <c r="H179" s="64"/>
      <c r="I179" s="51"/>
      <c r="J179" s="52"/>
    </row>
    <row r="180" spans="1:10" ht="15.6" x14ac:dyDescent="0.25">
      <c r="A180" s="46">
        <v>23</v>
      </c>
      <c r="B180" s="97"/>
      <c r="C180" s="98"/>
      <c r="D180" s="98"/>
      <c r="E180" s="98"/>
      <c r="F180" s="98"/>
      <c r="G180" s="98"/>
      <c r="H180" s="59"/>
      <c r="I180" s="25">
        <f ca="1">IF(COUNTIFS(H181:H185,"&gt;0") &gt; 3, FLOOR((SUM(H181:H185)-MIN(H181,H182,H183,H184,H185))/4,0.0001), )</f>
        <v>0</v>
      </c>
      <c r="J180" s="26" t="str">
        <f ca="1">IF(I180=0,"",RANK(I180,$I$4:$I$224,))</f>
        <v/>
      </c>
    </row>
    <row r="181" spans="1:10" ht="13.2" x14ac:dyDescent="0.25">
      <c r="A181" s="52"/>
      <c r="B181" s="48">
        <v>1</v>
      </c>
      <c r="C181" s="49"/>
      <c r="D181" s="50"/>
      <c r="E181" s="60"/>
      <c r="F181" s="60"/>
      <c r="G181" s="60"/>
      <c r="H181" s="61">
        <f ca="1">IFERROR(__xludf.DUMMYFUNCTION("MAX(IF(REGEXMATCH(E181,""^\d{1,2},\d{2}$""),VALUE(E181),0),IF(REGEXMATCH(F181,""^\d{1,2},\d{2}$""),VALUE(F181),0),IF(REGEXMATCH(G181,""^\d{1,2},\d{2}$""),VALUE(G181),0))"),0)</f>
        <v>0</v>
      </c>
      <c r="I181" s="51"/>
      <c r="J181" s="52"/>
    </row>
    <row r="182" spans="1:10" ht="13.2" x14ac:dyDescent="0.25">
      <c r="A182" s="52"/>
      <c r="B182" s="48">
        <v>2</v>
      </c>
      <c r="C182" s="49"/>
      <c r="D182" s="50"/>
      <c r="E182" s="60"/>
      <c r="F182" s="60"/>
      <c r="G182" s="60"/>
      <c r="H182" s="61">
        <f ca="1">IFERROR(__xludf.DUMMYFUNCTION("MAX(IF(REGEXMATCH(E182,""^\d{1,2},\d{2}$""),VALUE(E182),0),IF(REGEXMATCH(F182,""^\d{1,2},\d{2}$""),VALUE(F182),0),IF(REGEXMATCH(G182,""^\d{1,2},\d{2}$""),VALUE(G182),0))"),0)</f>
        <v>0</v>
      </c>
      <c r="I182" s="51"/>
      <c r="J182" s="52"/>
    </row>
    <row r="183" spans="1:10" ht="13.2" x14ac:dyDescent="0.25">
      <c r="A183" s="52"/>
      <c r="B183" s="48">
        <v>3</v>
      </c>
      <c r="C183" s="49"/>
      <c r="D183" s="50"/>
      <c r="E183" s="60"/>
      <c r="F183" s="60"/>
      <c r="G183" s="60"/>
      <c r="H183" s="61">
        <f ca="1">IFERROR(__xludf.DUMMYFUNCTION("MAX(IF(REGEXMATCH(E183,""^\d{1,2},\d{2}$""),VALUE(E183),0),IF(REGEXMATCH(F183,""^\d{1,2},\d{2}$""),VALUE(F183),0),IF(REGEXMATCH(G183,""^\d{1,2},\d{2}$""),VALUE(G183),0))"),0)</f>
        <v>0</v>
      </c>
      <c r="I183" s="51"/>
      <c r="J183" s="52"/>
    </row>
    <row r="184" spans="1:10" ht="13.2" x14ac:dyDescent="0.25">
      <c r="A184" s="52"/>
      <c r="B184" s="48">
        <v>4</v>
      </c>
      <c r="C184" s="49"/>
      <c r="D184" s="50"/>
      <c r="E184" s="60"/>
      <c r="F184" s="60"/>
      <c r="G184" s="60"/>
      <c r="H184" s="61">
        <f ca="1">IFERROR(__xludf.DUMMYFUNCTION("MAX(IF(REGEXMATCH(E184,""^\d{1,2},\d{2}$""),VALUE(E184),0),IF(REGEXMATCH(F184,""^\d{1,2},\d{2}$""),VALUE(F184),0),IF(REGEXMATCH(G184,""^\d{1,2},\d{2}$""),VALUE(G184),0))"),0)</f>
        <v>0</v>
      </c>
      <c r="I184" s="51"/>
      <c r="J184" s="52"/>
    </row>
    <row r="185" spans="1:10" ht="13.2" x14ac:dyDescent="0.25">
      <c r="A185" s="52"/>
      <c r="B185" s="48">
        <v>5</v>
      </c>
      <c r="C185" s="49"/>
      <c r="D185" s="50"/>
      <c r="E185" s="60"/>
      <c r="F185" s="60"/>
      <c r="G185" s="60"/>
      <c r="H185" s="61">
        <f ca="1">IFERROR(__xludf.DUMMYFUNCTION("MAX(IF(REGEXMATCH(E185,""^\d{1,2},\d{2}$""),VALUE(E185),0),IF(REGEXMATCH(F185,""^\d{1,2},\d{2}$""),VALUE(F185),0),IF(REGEXMATCH(G185,""^\d{1,2},\d{2}$""),VALUE(G185),0))"),0)</f>
        <v>0</v>
      </c>
      <c r="I185" s="51"/>
      <c r="J185" s="52"/>
    </row>
    <row r="186" spans="1:10" ht="13.2" x14ac:dyDescent="0.25">
      <c r="A186" s="52"/>
      <c r="B186" s="62" t="s">
        <v>18</v>
      </c>
      <c r="C186" s="36"/>
      <c r="D186" s="44"/>
      <c r="E186" s="38"/>
      <c r="F186" s="38"/>
      <c r="G186" s="38"/>
      <c r="H186" s="63"/>
      <c r="I186" s="51"/>
      <c r="J186" s="52"/>
    </row>
    <row r="187" spans="1:10" ht="13.2" x14ac:dyDescent="0.25">
      <c r="A187" s="52"/>
      <c r="B187" s="52"/>
      <c r="C187" s="52"/>
      <c r="D187" s="53"/>
      <c r="E187" s="53"/>
      <c r="F187" s="53"/>
      <c r="G187" s="53"/>
      <c r="H187" s="64"/>
      <c r="I187" s="51"/>
      <c r="J187" s="52"/>
    </row>
    <row r="188" spans="1:10" ht="15.6" x14ac:dyDescent="0.25">
      <c r="A188" s="46">
        <v>24</v>
      </c>
      <c r="B188" s="97"/>
      <c r="C188" s="98"/>
      <c r="D188" s="98"/>
      <c r="E188" s="98"/>
      <c r="F188" s="98"/>
      <c r="G188" s="98"/>
      <c r="H188" s="59"/>
      <c r="I188" s="25">
        <f ca="1">IF(COUNTIFS(H189:H193,"&gt;0") &gt; 3, FLOOR((SUM(H189:H193)-MIN(H189,H190,H191,H192,H193))/4,0.0001), )</f>
        <v>0</v>
      </c>
      <c r="J188" s="26" t="str">
        <f ca="1">IF(I188=0,"",RANK(I188,$I$4:$I$224,))</f>
        <v/>
      </c>
    </row>
    <row r="189" spans="1:10" ht="13.2" x14ac:dyDescent="0.25">
      <c r="A189" s="52"/>
      <c r="B189" s="48">
        <v>1</v>
      </c>
      <c r="C189" s="49"/>
      <c r="D189" s="50"/>
      <c r="E189" s="60"/>
      <c r="F189" s="60"/>
      <c r="G189" s="60"/>
      <c r="H189" s="61">
        <f ca="1">IFERROR(__xludf.DUMMYFUNCTION("MAX(IF(REGEXMATCH(E189,""^\d{1,2},\d{2}$""),VALUE(E189),0),IF(REGEXMATCH(F189,""^\d{1,2},\d{2}$""),VALUE(F189),0),IF(REGEXMATCH(G189,""^\d{1,2},\d{2}$""),VALUE(G189),0))"),0)</f>
        <v>0</v>
      </c>
      <c r="I189" s="51"/>
      <c r="J189" s="52"/>
    </row>
    <row r="190" spans="1:10" ht="13.2" x14ac:dyDescent="0.25">
      <c r="A190" s="52"/>
      <c r="B190" s="48">
        <v>2</v>
      </c>
      <c r="C190" s="49"/>
      <c r="D190" s="50"/>
      <c r="E190" s="60"/>
      <c r="F190" s="60"/>
      <c r="G190" s="60"/>
      <c r="H190" s="61">
        <f ca="1">IFERROR(__xludf.DUMMYFUNCTION("MAX(IF(REGEXMATCH(E190,""^\d{1,2},\d{2}$""),VALUE(E190),0),IF(REGEXMATCH(F190,""^\d{1,2},\d{2}$""),VALUE(F190),0),IF(REGEXMATCH(G190,""^\d{1,2},\d{2}$""),VALUE(G190),0))"),0)</f>
        <v>0</v>
      </c>
      <c r="I190" s="51"/>
      <c r="J190" s="52"/>
    </row>
    <row r="191" spans="1:10" ht="13.2" x14ac:dyDescent="0.25">
      <c r="A191" s="52"/>
      <c r="B191" s="48">
        <v>3</v>
      </c>
      <c r="C191" s="49"/>
      <c r="D191" s="50"/>
      <c r="E191" s="60"/>
      <c r="F191" s="60"/>
      <c r="G191" s="60"/>
      <c r="H191" s="61">
        <f ca="1">IFERROR(__xludf.DUMMYFUNCTION("MAX(IF(REGEXMATCH(E191,""^\d{1,2},\d{2}$""),VALUE(E191),0),IF(REGEXMATCH(F191,""^\d{1,2},\d{2}$""),VALUE(F191),0),IF(REGEXMATCH(G191,""^\d{1,2},\d{2}$""),VALUE(G191),0))"),0)</f>
        <v>0</v>
      </c>
      <c r="I191" s="51"/>
      <c r="J191" s="52"/>
    </row>
    <row r="192" spans="1:10" ht="13.2" x14ac:dyDescent="0.25">
      <c r="A192" s="52"/>
      <c r="B192" s="48">
        <v>4</v>
      </c>
      <c r="C192" s="49"/>
      <c r="D192" s="50"/>
      <c r="E192" s="60"/>
      <c r="F192" s="60"/>
      <c r="G192" s="60"/>
      <c r="H192" s="61">
        <f ca="1">IFERROR(__xludf.DUMMYFUNCTION("MAX(IF(REGEXMATCH(E192,""^\d{1,2},\d{2}$""),VALUE(E192),0),IF(REGEXMATCH(F192,""^\d{1,2},\d{2}$""),VALUE(F192),0),IF(REGEXMATCH(G192,""^\d{1,2},\d{2}$""),VALUE(G192),0))"),0)</f>
        <v>0</v>
      </c>
      <c r="I192" s="51"/>
      <c r="J192" s="52"/>
    </row>
    <row r="193" spans="1:10" ht="13.2" x14ac:dyDescent="0.25">
      <c r="A193" s="52"/>
      <c r="B193" s="48">
        <v>5</v>
      </c>
      <c r="C193" s="49"/>
      <c r="D193" s="50"/>
      <c r="E193" s="60"/>
      <c r="F193" s="60"/>
      <c r="G193" s="60"/>
      <c r="H193" s="61">
        <f ca="1">IFERROR(__xludf.DUMMYFUNCTION("MAX(IF(REGEXMATCH(E193,""^\d{1,2},\d{2}$""),VALUE(E193),0),IF(REGEXMATCH(F193,""^\d{1,2},\d{2}$""),VALUE(F193),0),IF(REGEXMATCH(G193,""^\d{1,2},\d{2}$""),VALUE(G193),0))"),0)</f>
        <v>0</v>
      </c>
      <c r="I193" s="51"/>
      <c r="J193" s="52"/>
    </row>
    <row r="194" spans="1:10" ht="13.2" x14ac:dyDescent="0.25">
      <c r="A194" s="52"/>
      <c r="B194" s="62" t="s">
        <v>18</v>
      </c>
      <c r="C194" s="36"/>
      <c r="D194" s="44"/>
      <c r="E194" s="38"/>
      <c r="F194" s="38"/>
      <c r="G194" s="38"/>
      <c r="H194" s="63"/>
      <c r="I194" s="51"/>
      <c r="J194" s="52"/>
    </row>
    <row r="195" spans="1:10" ht="13.2" x14ac:dyDescent="0.25">
      <c r="A195" s="52"/>
      <c r="B195" s="52"/>
      <c r="C195" s="52"/>
      <c r="D195" s="53"/>
      <c r="E195" s="53"/>
      <c r="F195" s="53"/>
      <c r="G195" s="53"/>
      <c r="H195" s="64"/>
      <c r="I195" s="51"/>
      <c r="J195" s="52"/>
    </row>
    <row r="196" spans="1:10" ht="15.6" x14ac:dyDescent="0.25">
      <c r="A196" s="46">
        <v>25</v>
      </c>
      <c r="B196" s="97"/>
      <c r="C196" s="98"/>
      <c r="D196" s="98"/>
      <c r="E196" s="98"/>
      <c r="F196" s="98"/>
      <c r="G196" s="98"/>
      <c r="H196" s="59"/>
      <c r="I196" s="25">
        <f ca="1">IF(COUNTIFS(H197:H201,"&gt;0") &gt; 3, FLOOR((SUM(H197:H201)-MIN(H197,H198,H199,H200,H201))/4,0.0001), )</f>
        <v>0</v>
      </c>
      <c r="J196" s="26" t="str">
        <f ca="1">IF(I196=0,"",RANK(I196,$I$4:$I$224,))</f>
        <v/>
      </c>
    </row>
    <row r="197" spans="1:10" ht="13.2" x14ac:dyDescent="0.25">
      <c r="A197" s="52"/>
      <c r="B197" s="48">
        <v>1</v>
      </c>
      <c r="C197" s="49"/>
      <c r="D197" s="50"/>
      <c r="E197" s="60"/>
      <c r="F197" s="60"/>
      <c r="G197" s="60"/>
      <c r="H197" s="61">
        <f ca="1">IFERROR(__xludf.DUMMYFUNCTION("MAX(IF(REGEXMATCH(E197,""^\d{1,2},\d{2}$""),VALUE(E197),0),IF(REGEXMATCH(F197,""^\d{1,2},\d{2}$""),VALUE(F197),0),IF(REGEXMATCH(G197,""^\d{1,2},\d{2}$""),VALUE(G197),0))"),0)</f>
        <v>0</v>
      </c>
      <c r="I197" s="51"/>
      <c r="J197" s="52"/>
    </row>
    <row r="198" spans="1:10" ht="13.2" x14ac:dyDescent="0.25">
      <c r="A198" s="52"/>
      <c r="B198" s="48">
        <v>2</v>
      </c>
      <c r="C198" s="49"/>
      <c r="D198" s="50"/>
      <c r="E198" s="60"/>
      <c r="F198" s="60"/>
      <c r="G198" s="60"/>
      <c r="H198" s="61">
        <f ca="1">IFERROR(__xludf.DUMMYFUNCTION("MAX(IF(REGEXMATCH(E198,""^\d{1,2},\d{2}$""),VALUE(E198),0),IF(REGEXMATCH(F198,""^\d{1,2},\d{2}$""),VALUE(F198),0),IF(REGEXMATCH(G198,""^\d{1,2},\d{2}$""),VALUE(G198),0))"),0)</f>
        <v>0</v>
      </c>
      <c r="I198" s="51"/>
      <c r="J198" s="52"/>
    </row>
    <row r="199" spans="1:10" ht="13.2" x14ac:dyDescent="0.25">
      <c r="A199" s="52"/>
      <c r="B199" s="48">
        <v>3</v>
      </c>
      <c r="C199" s="49"/>
      <c r="D199" s="50"/>
      <c r="E199" s="60"/>
      <c r="F199" s="60"/>
      <c r="G199" s="60"/>
      <c r="H199" s="61">
        <f ca="1">IFERROR(__xludf.DUMMYFUNCTION("MAX(IF(REGEXMATCH(E199,""^\d{1,2},\d{2}$""),VALUE(E199),0),IF(REGEXMATCH(F199,""^\d{1,2},\d{2}$""),VALUE(F199),0),IF(REGEXMATCH(G199,""^\d{1,2},\d{2}$""),VALUE(G199),0))"),0)</f>
        <v>0</v>
      </c>
      <c r="I199" s="51"/>
      <c r="J199" s="52"/>
    </row>
    <row r="200" spans="1:10" ht="13.2" x14ac:dyDescent="0.25">
      <c r="A200" s="52"/>
      <c r="B200" s="48">
        <v>4</v>
      </c>
      <c r="C200" s="49"/>
      <c r="D200" s="50"/>
      <c r="E200" s="60"/>
      <c r="F200" s="60"/>
      <c r="G200" s="60"/>
      <c r="H200" s="61">
        <f ca="1">IFERROR(__xludf.DUMMYFUNCTION("MAX(IF(REGEXMATCH(E200,""^\d{1,2},\d{2}$""),VALUE(E200),0),IF(REGEXMATCH(F200,""^\d{1,2},\d{2}$""),VALUE(F200),0),IF(REGEXMATCH(G200,""^\d{1,2},\d{2}$""),VALUE(G200),0))"),0)</f>
        <v>0</v>
      </c>
      <c r="I200" s="51"/>
      <c r="J200" s="52"/>
    </row>
    <row r="201" spans="1:10" ht="13.2" x14ac:dyDescent="0.25">
      <c r="A201" s="52"/>
      <c r="B201" s="48">
        <v>5</v>
      </c>
      <c r="C201" s="49"/>
      <c r="D201" s="50"/>
      <c r="E201" s="60"/>
      <c r="F201" s="60"/>
      <c r="G201" s="60"/>
      <c r="H201" s="61">
        <f ca="1">IFERROR(__xludf.DUMMYFUNCTION("MAX(IF(REGEXMATCH(E201,""^\d{1,2},\d{2}$""),VALUE(E201),0),IF(REGEXMATCH(F201,""^\d{1,2},\d{2}$""),VALUE(F201),0),IF(REGEXMATCH(G201,""^\d{1,2},\d{2}$""),VALUE(G201),0))"),0)</f>
        <v>0</v>
      </c>
      <c r="I201" s="51"/>
      <c r="J201" s="52"/>
    </row>
    <row r="202" spans="1:10" ht="13.2" x14ac:dyDescent="0.25">
      <c r="A202" s="52"/>
      <c r="B202" s="62" t="s">
        <v>18</v>
      </c>
      <c r="C202" s="36"/>
      <c r="D202" s="44"/>
      <c r="E202" s="38"/>
      <c r="F202" s="38"/>
      <c r="G202" s="38"/>
      <c r="H202" s="63"/>
      <c r="I202" s="51"/>
      <c r="J202" s="52"/>
    </row>
    <row r="203" spans="1:10" ht="13.2" x14ac:dyDescent="0.25">
      <c r="A203" s="17"/>
      <c r="B203" s="17"/>
      <c r="D203" s="18"/>
      <c r="E203" s="18"/>
      <c r="F203" s="18"/>
      <c r="G203" s="18"/>
      <c r="H203" s="58"/>
      <c r="I203" s="21"/>
      <c r="J203" s="22"/>
    </row>
    <row r="204" spans="1:10" ht="13.2" x14ac:dyDescent="0.25">
      <c r="A204" s="17"/>
      <c r="B204" s="17"/>
      <c r="D204" s="18"/>
      <c r="E204" s="18"/>
      <c r="F204" s="18"/>
      <c r="G204" s="18"/>
      <c r="H204" s="58"/>
      <c r="I204" s="21"/>
      <c r="J204" s="22"/>
    </row>
    <row r="205" spans="1:10" ht="13.2" x14ac:dyDescent="0.25">
      <c r="A205" s="17"/>
      <c r="B205" s="17"/>
      <c r="D205" s="18"/>
      <c r="E205" s="18"/>
      <c r="F205" s="18"/>
      <c r="G205" s="18"/>
      <c r="H205" s="58"/>
      <c r="I205" s="21"/>
      <c r="J205" s="22"/>
    </row>
    <row r="206" spans="1:10" ht="13.2" x14ac:dyDescent="0.25">
      <c r="A206" s="17"/>
      <c r="B206" s="17"/>
      <c r="D206" s="18"/>
      <c r="E206" s="18"/>
      <c r="F206" s="18"/>
      <c r="G206" s="18"/>
      <c r="H206" s="58"/>
      <c r="I206" s="21"/>
      <c r="J206" s="22"/>
    </row>
    <row r="207" spans="1:10" ht="13.2" x14ac:dyDescent="0.25">
      <c r="A207" s="17"/>
      <c r="B207" s="17"/>
      <c r="D207" s="18"/>
      <c r="E207" s="18"/>
      <c r="F207" s="18"/>
      <c r="G207" s="18"/>
      <c r="H207" s="58"/>
      <c r="I207" s="21"/>
      <c r="J207" s="22"/>
    </row>
    <row r="208" spans="1:10" ht="13.2" x14ac:dyDescent="0.25">
      <c r="A208" s="17"/>
      <c r="B208" s="17"/>
      <c r="D208" s="18"/>
      <c r="E208" s="18"/>
      <c r="F208" s="18"/>
      <c r="G208" s="18"/>
      <c r="H208" s="58"/>
      <c r="I208" s="21"/>
      <c r="J208" s="22"/>
    </row>
    <row r="209" spans="1:10" ht="13.2" x14ac:dyDescent="0.25">
      <c r="A209" s="17"/>
      <c r="B209" s="17"/>
      <c r="D209" s="18"/>
      <c r="E209" s="18"/>
      <c r="F209" s="18"/>
      <c r="G209" s="18"/>
      <c r="H209" s="58"/>
      <c r="I209" s="21"/>
      <c r="J209" s="22"/>
    </row>
    <row r="210" spans="1:10" ht="13.2" x14ac:dyDescent="0.25">
      <c r="A210" s="17"/>
      <c r="B210" s="17"/>
      <c r="D210" s="18"/>
      <c r="E210" s="18"/>
      <c r="F210" s="18"/>
      <c r="G210" s="18"/>
      <c r="H210" s="58"/>
      <c r="I210" s="21"/>
      <c r="J210" s="22"/>
    </row>
    <row r="211" spans="1:10" ht="13.2" x14ac:dyDescent="0.25">
      <c r="A211" s="17"/>
      <c r="B211" s="17"/>
      <c r="D211" s="18"/>
      <c r="E211" s="18"/>
      <c r="F211" s="18"/>
      <c r="G211" s="18"/>
      <c r="H211" s="58"/>
      <c r="I211" s="21"/>
      <c r="J211" s="22"/>
    </row>
    <row r="212" spans="1:10" ht="13.2" x14ac:dyDescent="0.25">
      <c r="A212" s="17"/>
      <c r="B212" s="17"/>
      <c r="D212" s="18"/>
      <c r="E212" s="18"/>
      <c r="F212" s="18"/>
      <c r="G212" s="18"/>
      <c r="H212" s="58"/>
      <c r="I212" s="21"/>
      <c r="J212" s="22"/>
    </row>
    <row r="213" spans="1:10" ht="13.2" x14ac:dyDescent="0.25">
      <c r="A213" s="17"/>
      <c r="B213" s="17"/>
      <c r="D213" s="18"/>
      <c r="E213" s="18"/>
      <c r="F213" s="18"/>
      <c r="G213" s="18"/>
      <c r="H213" s="58"/>
      <c r="I213" s="21"/>
      <c r="J213" s="22"/>
    </row>
    <row r="214" spans="1:10" ht="13.2" x14ac:dyDescent="0.25">
      <c r="A214" s="17"/>
      <c r="B214" s="17"/>
      <c r="D214" s="18"/>
      <c r="E214" s="18"/>
      <c r="F214" s="18"/>
      <c r="G214" s="18"/>
      <c r="H214" s="58"/>
      <c r="I214" s="21"/>
      <c r="J214" s="22"/>
    </row>
    <row r="215" spans="1:10" ht="13.2" x14ac:dyDescent="0.25">
      <c r="A215" s="17"/>
      <c r="B215" s="17"/>
      <c r="D215" s="18"/>
      <c r="E215" s="18"/>
      <c r="F215" s="18"/>
      <c r="G215" s="18"/>
      <c r="H215" s="58"/>
      <c r="I215" s="21"/>
      <c r="J215" s="22"/>
    </row>
    <row r="216" spans="1:10" ht="13.2" x14ac:dyDescent="0.25">
      <c r="A216" s="17"/>
      <c r="B216" s="17"/>
      <c r="D216" s="18"/>
      <c r="E216" s="18"/>
      <c r="F216" s="18"/>
      <c r="G216" s="18"/>
      <c r="H216" s="58"/>
      <c r="I216" s="21"/>
      <c r="J216" s="22"/>
    </row>
    <row r="217" spans="1:10" ht="13.2" x14ac:dyDescent="0.25">
      <c r="A217" s="17"/>
      <c r="B217" s="17"/>
      <c r="D217" s="18"/>
      <c r="E217" s="18"/>
      <c r="F217" s="18"/>
      <c r="G217" s="18"/>
      <c r="H217" s="58"/>
      <c r="I217" s="21"/>
      <c r="J217" s="22"/>
    </row>
    <row r="218" spans="1:10" ht="13.2" x14ac:dyDescent="0.25">
      <c r="A218" s="17"/>
      <c r="B218" s="17"/>
      <c r="D218" s="18"/>
      <c r="E218" s="18"/>
      <c r="F218" s="18"/>
      <c r="G218" s="18"/>
      <c r="H218" s="58"/>
      <c r="I218" s="21"/>
      <c r="J218" s="22"/>
    </row>
    <row r="219" spans="1:10" ht="13.2" x14ac:dyDescent="0.25">
      <c r="A219" s="17"/>
      <c r="B219" s="17"/>
      <c r="D219" s="18"/>
      <c r="E219" s="18"/>
      <c r="F219" s="18"/>
      <c r="G219" s="18"/>
      <c r="H219" s="58"/>
      <c r="I219" s="21"/>
      <c r="J219" s="22"/>
    </row>
    <row r="220" spans="1:10" ht="13.2" x14ac:dyDescent="0.25">
      <c r="A220" s="17"/>
      <c r="B220" s="17"/>
      <c r="D220" s="18"/>
      <c r="E220" s="18"/>
      <c r="F220" s="18"/>
      <c r="G220" s="18"/>
      <c r="H220" s="58"/>
      <c r="I220" s="21"/>
      <c r="J220" s="22"/>
    </row>
    <row r="221" spans="1:10" ht="13.2" x14ac:dyDescent="0.25">
      <c r="A221" s="17"/>
      <c r="B221" s="17"/>
      <c r="D221" s="18"/>
      <c r="E221" s="18"/>
      <c r="F221" s="18"/>
      <c r="G221" s="18"/>
      <c r="H221" s="58"/>
      <c r="I221" s="21"/>
      <c r="J221" s="22"/>
    </row>
    <row r="222" spans="1:10" ht="13.2" x14ac:dyDescent="0.25">
      <c r="A222" s="17"/>
      <c r="B222" s="17"/>
      <c r="D222" s="18"/>
      <c r="E222" s="18"/>
      <c r="F222" s="18"/>
      <c r="G222" s="18"/>
      <c r="H222" s="58"/>
      <c r="I222" s="21"/>
      <c r="J222" s="22"/>
    </row>
    <row r="223" spans="1:10" ht="13.2" x14ac:dyDescent="0.25">
      <c r="A223" s="17"/>
      <c r="B223" s="17"/>
      <c r="D223" s="18"/>
      <c r="E223" s="18"/>
      <c r="F223" s="18"/>
      <c r="G223" s="18"/>
      <c r="H223" s="58"/>
      <c r="I223" s="21"/>
      <c r="J223" s="22"/>
    </row>
    <row r="224" spans="1:10" ht="13.2" x14ac:dyDescent="0.25">
      <c r="A224" s="17"/>
      <c r="B224" s="17"/>
      <c r="D224" s="18"/>
      <c r="E224" s="18"/>
      <c r="F224" s="18"/>
      <c r="G224" s="18"/>
      <c r="H224" s="58"/>
      <c r="I224" s="21"/>
      <c r="J224" s="22"/>
    </row>
    <row r="225" spans="1:10" ht="13.2" x14ac:dyDescent="0.25">
      <c r="A225" s="17"/>
      <c r="B225" s="17"/>
      <c r="D225" s="18"/>
      <c r="E225" s="18"/>
      <c r="F225" s="18"/>
      <c r="G225" s="18"/>
      <c r="H225" s="58"/>
      <c r="I225" s="21"/>
      <c r="J225" s="22"/>
    </row>
    <row r="226" spans="1:10" ht="13.2" x14ac:dyDescent="0.25">
      <c r="A226" s="17"/>
      <c r="B226" s="17"/>
      <c r="D226" s="18"/>
      <c r="E226" s="18"/>
      <c r="F226" s="18"/>
      <c r="G226" s="18"/>
      <c r="H226" s="58"/>
      <c r="I226" s="21"/>
      <c r="J226" s="22"/>
    </row>
    <row r="227" spans="1:10" ht="13.2" x14ac:dyDescent="0.25">
      <c r="A227" s="17"/>
      <c r="B227" s="17"/>
      <c r="D227" s="18"/>
      <c r="E227" s="18"/>
      <c r="F227" s="18"/>
      <c r="G227" s="18"/>
      <c r="H227" s="58"/>
      <c r="I227" s="21"/>
      <c r="J227" s="22"/>
    </row>
    <row r="228" spans="1:10" ht="13.2" x14ac:dyDescent="0.25">
      <c r="A228" s="17"/>
      <c r="B228" s="17"/>
      <c r="D228" s="18"/>
      <c r="E228" s="18"/>
      <c r="F228" s="18"/>
      <c r="G228" s="18"/>
      <c r="H228" s="58"/>
      <c r="I228" s="21"/>
      <c r="J228" s="22"/>
    </row>
    <row r="229" spans="1:10" ht="13.2" x14ac:dyDescent="0.25">
      <c r="A229" s="17"/>
      <c r="B229" s="17"/>
      <c r="D229" s="18"/>
      <c r="E229" s="18"/>
      <c r="F229" s="18"/>
      <c r="G229" s="18"/>
      <c r="H229" s="58"/>
      <c r="I229" s="21"/>
      <c r="J229" s="22"/>
    </row>
    <row r="230" spans="1:10" ht="13.2" x14ac:dyDescent="0.25">
      <c r="A230" s="17"/>
      <c r="B230" s="17"/>
      <c r="D230" s="18"/>
      <c r="E230" s="18"/>
      <c r="F230" s="18"/>
      <c r="G230" s="18"/>
      <c r="H230" s="58"/>
      <c r="I230" s="21"/>
      <c r="J230" s="22"/>
    </row>
    <row r="231" spans="1:10" ht="13.2" x14ac:dyDescent="0.25">
      <c r="A231" s="17"/>
      <c r="B231" s="17"/>
      <c r="D231" s="18"/>
      <c r="E231" s="18"/>
      <c r="F231" s="18"/>
      <c r="G231" s="18"/>
      <c r="H231" s="58"/>
      <c r="I231" s="21"/>
      <c r="J231" s="22"/>
    </row>
    <row r="232" spans="1:10" ht="13.2" x14ac:dyDescent="0.25">
      <c r="A232" s="17"/>
      <c r="B232" s="17"/>
      <c r="D232" s="18"/>
      <c r="E232" s="18"/>
      <c r="F232" s="18"/>
      <c r="G232" s="18"/>
      <c r="H232" s="58"/>
      <c r="I232" s="21"/>
      <c r="J232" s="22"/>
    </row>
    <row r="233" spans="1:10" ht="13.2" x14ac:dyDescent="0.25">
      <c r="A233" s="17"/>
      <c r="B233" s="17"/>
      <c r="D233" s="18"/>
      <c r="E233" s="18"/>
      <c r="F233" s="18"/>
      <c r="G233" s="18"/>
      <c r="H233" s="58"/>
      <c r="I233" s="21"/>
      <c r="J233" s="22"/>
    </row>
    <row r="234" spans="1:10" ht="13.2" x14ac:dyDescent="0.25">
      <c r="A234" s="17"/>
      <c r="B234" s="17"/>
      <c r="D234" s="18"/>
      <c r="E234" s="18"/>
      <c r="F234" s="18"/>
      <c r="G234" s="18"/>
      <c r="H234" s="58"/>
      <c r="I234" s="21"/>
      <c r="J234" s="22"/>
    </row>
    <row r="235" spans="1:10" ht="13.2" x14ac:dyDescent="0.25">
      <c r="A235" s="17"/>
      <c r="B235" s="17"/>
      <c r="D235" s="18"/>
      <c r="E235" s="18"/>
      <c r="F235" s="18"/>
      <c r="G235" s="18"/>
      <c r="H235" s="58"/>
      <c r="I235" s="21"/>
      <c r="J235" s="22"/>
    </row>
    <row r="236" spans="1:10" ht="13.2" x14ac:dyDescent="0.25">
      <c r="A236" s="17"/>
      <c r="B236" s="17"/>
      <c r="D236" s="18"/>
      <c r="E236" s="18"/>
      <c r="F236" s="18"/>
      <c r="G236" s="18"/>
      <c r="H236" s="58"/>
      <c r="I236" s="21"/>
      <c r="J236" s="22"/>
    </row>
    <row r="237" spans="1:10" ht="13.2" x14ac:dyDescent="0.25">
      <c r="A237" s="17"/>
      <c r="B237" s="17"/>
      <c r="D237" s="18"/>
      <c r="E237" s="18"/>
      <c r="F237" s="18"/>
      <c r="G237" s="18"/>
      <c r="H237" s="58"/>
      <c r="I237" s="21"/>
      <c r="J237" s="22"/>
    </row>
    <row r="238" spans="1:10" ht="13.2" x14ac:dyDescent="0.25">
      <c r="A238" s="17"/>
      <c r="B238" s="17"/>
      <c r="D238" s="18"/>
      <c r="E238" s="18"/>
      <c r="F238" s="18"/>
      <c r="G238" s="18"/>
      <c r="H238" s="58"/>
      <c r="I238" s="21"/>
      <c r="J238" s="22"/>
    </row>
    <row r="239" spans="1:10" ht="13.2" x14ac:dyDescent="0.25">
      <c r="A239" s="17"/>
      <c r="B239" s="17"/>
      <c r="D239" s="18"/>
      <c r="E239" s="18"/>
      <c r="F239" s="18"/>
      <c r="G239" s="18"/>
      <c r="H239" s="58"/>
      <c r="I239" s="21"/>
      <c r="J239" s="22"/>
    </row>
    <row r="240" spans="1:10" ht="13.2" x14ac:dyDescent="0.25">
      <c r="A240" s="17"/>
      <c r="B240" s="17"/>
      <c r="D240" s="18"/>
      <c r="E240" s="18"/>
      <c r="F240" s="18"/>
      <c r="G240" s="18"/>
      <c r="H240" s="58"/>
      <c r="I240" s="21"/>
      <c r="J240" s="22"/>
    </row>
    <row r="241" spans="1:10" ht="13.2" x14ac:dyDescent="0.25">
      <c r="A241" s="17"/>
      <c r="B241" s="17"/>
      <c r="D241" s="18"/>
      <c r="E241" s="18"/>
      <c r="F241" s="18"/>
      <c r="G241" s="18"/>
      <c r="H241" s="58"/>
      <c r="I241" s="21"/>
      <c r="J241" s="22"/>
    </row>
    <row r="242" spans="1:10" ht="13.2" x14ac:dyDescent="0.25">
      <c r="A242" s="17"/>
      <c r="B242" s="17"/>
      <c r="D242" s="18"/>
      <c r="E242" s="18"/>
      <c r="F242" s="18"/>
      <c r="G242" s="18"/>
      <c r="H242" s="58"/>
      <c r="I242" s="21"/>
      <c r="J242" s="22"/>
    </row>
    <row r="243" spans="1:10" ht="13.2" x14ac:dyDescent="0.25">
      <c r="A243" s="17"/>
      <c r="B243" s="17"/>
      <c r="D243" s="18"/>
      <c r="E243" s="18"/>
      <c r="F243" s="18"/>
      <c r="G243" s="18"/>
      <c r="H243" s="58"/>
      <c r="I243" s="21"/>
      <c r="J243" s="22"/>
    </row>
    <row r="244" spans="1:10" ht="13.2" x14ac:dyDescent="0.25">
      <c r="A244" s="17"/>
      <c r="B244" s="17"/>
      <c r="D244" s="18"/>
      <c r="E244" s="18"/>
      <c r="F244" s="18"/>
      <c r="G244" s="18"/>
      <c r="H244" s="58"/>
      <c r="I244" s="21"/>
      <c r="J244" s="22"/>
    </row>
    <row r="245" spans="1:10" ht="13.2" x14ac:dyDescent="0.25">
      <c r="A245" s="17"/>
      <c r="B245" s="17"/>
      <c r="D245" s="18"/>
      <c r="E245" s="18"/>
      <c r="F245" s="18"/>
      <c r="G245" s="18"/>
      <c r="H245" s="58"/>
      <c r="I245" s="21"/>
      <c r="J245" s="22"/>
    </row>
    <row r="246" spans="1:10" ht="13.2" x14ac:dyDescent="0.25">
      <c r="A246" s="17"/>
      <c r="B246" s="17"/>
      <c r="D246" s="18"/>
      <c r="E246" s="18"/>
      <c r="F246" s="18"/>
      <c r="G246" s="18"/>
      <c r="H246" s="58"/>
      <c r="I246" s="21"/>
      <c r="J246" s="22"/>
    </row>
    <row r="247" spans="1:10" ht="13.2" x14ac:dyDescent="0.25">
      <c r="A247" s="17"/>
      <c r="B247" s="17"/>
      <c r="D247" s="18"/>
      <c r="E247" s="18"/>
      <c r="F247" s="18"/>
      <c r="G247" s="18"/>
      <c r="H247" s="58"/>
      <c r="I247" s="21"/>
      <c r="J247" s="22"/>
    </row>
    <row r="248" spans="1:10" ht="13.2" x14ac:dyDescent="0.25">
      <c r="A248" s="17"/>
      <c r="B248" s="17"/>
      <c r="D248" s="18"/>
      <c r="E248" s="18"/>
      <c r="F248" s="18"/>
      <c r="G248" s="18"/>
      <c r="H248" s="58"/>
      <c r="I248" s="21"/>
      <c r="J248" s="22"/>
    </row>
    <row r="249" spans="1:10" ht="13.2" x14ac:dyDescent="0.25">
      <c r="A249" s="17"/>
      <c r="B249" s="17"/>
      <c r="D249" s="18"/>
      <c r="E249" s="18"/>
      <c r="F249" s="18"/>
      <c r="G249" s="18"/>
      <c r="H249" s="58"/>
      <c r="I249" s="21"/>
      <c r="J249" s="22"/>
    </row>
    <row r="250" spans="1:10" ht="13.2" x14ac:dyDescent="0.25">
      <c r="A250" s="17"/>
      <c r="B250" s="17"/>
      <c r="D250" s="18"/>
      <c r="E250" s="18"/>
      <c r="F250" s="18"/>
      <c r="G250" s="18"/>
      <c r="H250" s="58"/>
      <c r="I250" s="21"/>
      <c r="J250" s="22"/>
    </row>
    <row r="251" spans="1:10" ht="13.2" x14ac:dyDescent="0.25">
      <c r="A251" s="17"/>
      <c r="B251" s="17"/>
      <c r="D251" s="18"/>
      <c r="E251" s="18"/>
      <c r="F251" s="18"/>
      <c r="G251" s="18"/>
      <c r="H251" s="58"/>
      <c r="I251" s="21"/>
      <c r="J251" s="22"/>
    </row>
    <row r="252" spans="1:10" ht="13.2" x14ac:dyDescent="0.25">
      <c r="A252" s="17"/>
      <c r="B252" s="17"/>
      <c r="D252" s="18"/>
      <c r="E252" s="18"/>
      <c r="F252" s="18"/>
      <c r="G252" s="18"/>
      <c r="H252" s="58"/>
      <c r="I252" s="21"/>
      <c r="J252" s="22"/>
    </row>
    <row r="253" spans="1:10" ht="13.2" x14ac:dyDescent="0.25">
      <c r="A253" s="17"/>
      <c r="B253" s="17"/>
      <c r="D253" s="18"/>
      <c r="E253" s="18"/>
      <c r="F253" s="18"/>
      <c r="G253" s="18"/>
      <c r="H253" s="58"/>
      <c r="I253" s="21"/>
      <c r="J253" s="22"/>
    </row>
    <row r="254" spans="1:10" ht="13.2" x14ac:dyDescent="0.25">
      <c r="A254" s="17"/>
      <c r="B254" s="17"/>
      <c r="D254" s="18"/>
      <c r="E254" s="18"/>
      <c r="F254" s="18"/>
      <c r="G254" s="18"/>
      <c r="H254" s="58"/>
      <c r="I254" s="21"/>
      <c r="J254" s="22"/>
    </row>
    <row r="255" spans="1:10" ht="13.2" x14ac:dyDescent="0.25">
      <c r="A255" s="17"/>
      <c r="B255" s="17"/>
      <c r="D255" s="18"/>
      <c r="E255" s="18"/>
      <c r="F255" s="18"/>
      <c r="G255" s="18"/>
      <c r="H255" s="58"/>
      <c r="I255" s="21"/>
      <c r="J255" s="22"/>
    </row>
    <row r="256" spans="1:10" ht="13.2" x14ac:dyDescent="0.25">
      <c r="A256" s="17"/>
      <c r="B256" s="17"/>
      <c r="D256" s="18"/>
      <c r="E256" s="18"/>
      <c r="F256" s="18"/>
      <c r="G256" s="18"/>
      <c r="H256" s="58"/>
      <c r="I256" s="21"/>
      <c r="J256" s="22"/>
    </row>
    <row r="257" spans="1:10" ht="13.2" x14ac:dyDescent="0.25">
      <c r="A257" s="17"/>
      <c r="B257" s="17"/>
      <c r="D257" s="18"/>
      <c r="E257" s="18"/>
      <c r="F257" s="18"/>
      <c r="G257" s="18"/>
      <c r="H257" s="58"/>
      <c r="I257" s="21"/>
      <c r="J257" s="22"/>
    </row>
    <row r="258" spans="1:10" ht="13.2" x14ac:dyDescent="0.25">
      <c r="A258" s="17"/>
      <c r="B258" s="17"/>
      <c r="D258" s="18"/>
      <c r="E258" s="18"/>
      <c r="F258" s="18"/>
      <c r="G258" s="18"/>
      <c r="H258" s="58"/>
      <c r="I258" s="21"/>
      <c r="J258" s="22"/>
    </row>
    <row r="259" spans="1:10" ht="13.2" x14ac:dyDescent="0.25">
      <c r="A259" s="17"/>
      <c r="B259" s="17"/>
      <c r="D259" s="18"/>
      <c r="E259" s="18"/>
      <c r="F259" s="18"/>
      <c r="G259" s="18"/>
      <c r="H259" s="58"/>
      <c r="I259" s="21"/>
      <c r="J259" s="22"/>
    </row>
    <row r="260" spans="1:10" ht="13.2" x14ac:dyDescent="0.25">
      <c r="A260" s="17"/>
      <c r="B260" s="17"/>
      <c r="D260" s="18"/>
      <c r="E260" s="18"/>
      <c r="F260" s="18"/>
      <c r="G260" s="18"/>
      <c r="H260" s="58"/>
      <c r="I260" s="21"/>
      <c r="J260" s="22"/>
    </row>
    <row r="261" spans="1:10" ht="13.2" x14ac:dyDescent="0.25">
      <c r="A261" s="17"/>
      <c r="B261" s="17"/>
      <c r="D261" s="18"/>
      <c r="E261" s="18"/>
      <c r="F261" s="18"/>
      <c r="G261" s="18"/>
      <c r="H261" s="58"/>
      <c r="I261" s="21"/>
      <c r="J261" s="22"/>
    </row>
    <row r="262" spans="1:10" ht="13.2" x14ac:dyDescent="0.25">
      <c r="A262" s="17"/>
      <c r="B262" s="17"/>
      <c r="D262" s="18"/>
      <c r="E262" s="18"/>
      <c r="F262" s="18"/>
      <c r="G262" s="18"/>
      <c r="H262" s="58"/>
      <c r="I262" s="21"/>
      <c r="J262" s="22"/>
    </row>
    <row r="263" spans="1:10" ht="13.2" x14ac:dyDescent="0.25">
      <c r="A263" s="17"/>
      <c r="B263" s="17"/>
      <c r="D263" s="18"/>
      <c r="E263" s="18"/>
      <c r="F263" s="18"/>
      <c r="G263" s="18"/>
      <c r="H263" s="58"/>
      <c r="I263" s="21"/>
      <c r="J263" s="22"/>
    </row>
    <row r="264" spans="1:10" ht="13.2" x14ac:dyDescent="0.25">
      <c r="A264" s="17"/>
      <c r="B264" s="17"/>
      <c r="D264" s="18"/>
      <c r="E264" s="18"/>
      <c r="F264" s="18"/>
      <c r="G264" s="18"/>
      <c r="H264" s="58"/>
      <c r="I264" s="21"/>
      <c r="J264" s="22"/>
    </row>
    <row r="265" spans="1:10" ht="13.2" x14ac:dyDescent="0.25">
      <c r="A265" s="17"/>
      <c r="B265" s="17"/>
      <c r="D265" s="18"/>
      <c r="E265" s="18"/>
      <c r="F265" s="18"/>
      <c r="G265" s="18"/>
      <c r="H265" s="58"/>
      <c r="I265" s="21"/>
      <c r="J265" s="22"/>
    </row>
    <row r="266" spans="1:10" ht="13.2" x14ac:dyDescent="0.25">
      <c r="A266" s="17"/>
      <c r="B266" s="17"/>
      <c r="D266" s="18"/>
      <c r="E266" s="18"/>
      <c r="F266" s="18"/>
      <c r="G266" s="18"/>
      <c r="H266" s="58"/>
      <c r="I266" s="21"/>
      <c r="J266" s="22"/>
    </row>
    <row r="267" spans="1:10" ht="13.2" x14ac:dyDescent="0.25">
      <c r="A267" s="17"/>
      <c r="B267" s="17"/>
      <c r="D267" s="18"/>
      <c r="E267" s="18"/>
      <c r="F267" s="18"/>
      <c r="G267" s="18"/>
      <c r="H267" s="58"/>
      <c r="I267" s="21"/>
      <c r="J267" s="22"/>
    </row>
    <row r="268" spans="1:10" ht="13.2" x14ac:dyDescent="0.25">
      <c r="A268" s="17"/>
      <c r="B268" s="17"/>
      <c r="D268" s="18"/>
      <c r="E268" s="18"/>
      <c r="F268" s="18"/>
      <c r="G268" s="18"/>
      <c r="H268" s="58"/>
      <c r="I268" s="21"/>
      <c r="J268" s="22"/>
    </row>
    <row r="269" spans="1:10" ht="13.2" x14ac:dyDescent="0.25">
      <c r="A269" s="17"/>
      <c r="B269" s="17"/>
      <c r="D269" s="18"/>
      <c r="E269" s="18"/>
      <c r="F269" s="18"/>
      <c r="G269" s="18"/>
      <c r="H269" s="58"/>
      <c r="I269" s="21"/>
      <c r="J269" s="22"/>
    </row>
    <row r="270" spans="1:10" ht="13.2" x14ac:dyDescent="0.25">
      <c r="A270" s="17"/>
      <c r="B270" s="17"/>
      <c r="D270" s="18"/>
      <c r="E270" s="18"/>
      <c r="F270" s="18"/>
      <c r="G270" s="18"/>
      <c r="H270" s="58"/>
      <c r="I270" s="21"/>
      <c r="J270" s="22"/>
    </row>
    <row r="271" spans="1:10" ht="13.2" x14ac:dyDescent="0.25">
      <c r="A271" s="17"/>
      <c r="B271" s="17"/>
      <c r="D271" s="18"/>
      <c r="E271" s="18"/>
      <c r="F271" s="18"/>
      <c r="G271" s="18"/>
      <c r="H271" s="58"/>
      <c r="I271" s="21"/>
      <c r="J271" s="22"/>
    </row>
    <row r="272" spans="1:10" ht="13.2" x14ac:dyDescent="0.25">
      <c r="A272" s="17"/>
      <c r="B272" s="17"/>
      <c r="D272" s="18"/>
      <c r="E272" s="18"/>
      <c r="F272" s="18"/>
      <c r="G272" s="18"/>
      <c r="H272" s="58"/>
      <c r="I272" s="21"/>
      <c r="J272" s="22"/>
    </row>
    <row r="273" spans="1:10" ht="13.2" x14ac:dyDescent="0.25">
      <c r="A273" s="17"/>
      <c r="B273" s="17"/>
      <c r="D273" s="18"/>
      <c r="E273" s="18"/>
      <c r="F273" s="18"/>
      <c r="G273" s="18"/>
      <c r="H273" s="58"/>
      <c r="I273" s="21"/>
      <c r="J273" s="22"/>
    </row>
    <row r="274" spans="1:10" ht="13.2" x14ac:dyDescent="0.25">
      <c r="A274" s="17"/>
      <c r="B274" s="17"/>
      <c r="D274" s="18"/>
      <c r="E274" s="18"/>
      <c r="F274" s="18"/>
      <c r="G274" s="18"/>
      <c r="H274" s="58"/>
      <c r="I274" s="21"/>
      <c r="J274" s="22"/>
    </row>
    <row r="275" spans="1:10" ht="13.2" x14ac:dyDescent="0.25">
      <c r="A275" s="17"/>
      <c r="B275" s="17"/>
      <c r="D275" s="18"/>
      <c r="E275" s="18"/>
      <c r="F275" s="18"/>
      <c r="G275" s="18"/>
      <c r="H275" s="58"/>
      <c r="I275" s="21"/>
      <c r="J275" s="22"/>
    </row>
    <row r="276" spans="1:10" ht="13.2" x14ac:dyDescent="0.25">
      <c r="A276" s="17"/>
      <c r="B276" s="17"/>
      <c r="D276" s="18"/>
      <c r="E276" s="18"/>
      <c r="F276" s="18"/>
      <c r="G276" s="18"/>
      <c r="H276" s="58"/>
      <c r="I276" s="21"/>
      <c r="J276" s="22"/>
    </row>
    <row r="277" spans="1:10" ht="13.2" x14ac:dyDescent="0.25">
      <c r="A277" s="17"/>
      <c r="B277" s="17"/>
      <c r="D277" s="18"/>
      <c r="E277" s="18"/>
      <c r="F277" s="18"/>
      <c r="G277" s="18"/>
      <c r="H277" s="58"/>
      <c r="I277" s="21"/>
      <c r="J277" s="22"/>
    </row>
    <row r="278" spans="1:10" ht="13.2" x14ac:dyDescent="0.25">
      <c r="A278" s="17"/>
      <c r="B278" s="17"/>
      <c r="D278" s="18"/>
      <c r="E278" s="18"/>
      <c r="F278" s="18"/>
      <c r="G278" s="18"/>
      <c r="H278" s="58"/>
      <c r="I278" s="21"/>
      <c r="J278" s="22"/>
    </row>
    <row r="279" spans="1:10" ht="13.2" x14ac:dyDescent="0.25">
      <c r="A279" s="17"/>
      <c r="B279" s="17"/>
      <c r="D279" s="18"/>
      <c r="E279" s="18"/>
      <c r="F279" s="18"/>
      <c r="G279" s="18"/>
      <c r="H279" s="58"/>
      <c r="I279" s="21"/>
      <c r="J279" s="22"/>
    </row>
    <row r="280" spans="1:10" ht="13.2" x14ac:dyDescent="0.25">
      <c r="A280" s="17"/>
      <c r="B280" s="17"/>
      <c r="D280" s="18"/>
      <c r="E280" s="18"/>
      <c r="F280" s="18"/>
      <c r="G280" s="18"/>
      <c r="H280" s="58"/>
      <c r="I280" s="21"/>
      <c r="J280" s="22"/>
    </row>
    <row r="281" spans="1:10" ht="13.2" x14ac:dyDescent="0.25">
      <c r="A281" s="17"/>
      <c r="B281" s="17"/>
      <c r="D281" s="18"/>
      <c r="E281" s="18"/>
      <c r="F281" s="18"/>
      <c r="G281" s="18"/>
      <c r="H281" s="58"/>
      <c r="I281" s="21"/>
      <c r="J281" s="22"/>
    </row>
    <row r="282" spans="1:10" ht="13.2" x14ac:dyDescent="0.25">
      <c r="A282" s="17"/>
      <c r="B282" s="17"/>
      <c r="D282" s="18"/>
      <c r="E282" s="18"/>
      <c r="F282" s="18"/>
      <c r="G282" s="18"/>
      <c r="H282" s="58"/>
      <c r="I282" s="21"/>
      <c r="J282" s="22"/>
    </row>
    <row r="283" spans="1:10" ht="13.2" x14ac:dyDescent="0.25">
      <c r="A283" s="17"/>
      <c r="B283" s="17"/>
      <c r="D283" s="18"/>
      <c r="E283" s="18"/>
      <c r="F283" s="18"/>
      <c r="G283" s="18"/>
      <c r="H283" s="58"/>
      <c r="I283" s="21"/>
      <c r="J283" s="22"/>
    </row>
    <row r="284" spans="1:10" ht="13.2" x14ac:dyDescent="0.25">
      <c r="A284" s="17"/>
      <c r="B284" s="17"/>
      <c r="D284" s="18"/>
      <c r="E284" s="18"/>
      <c r="F284" s="18"/>
      <c r="G284" s="18"/>
      <c r="H284" s="58"/>
      <c r="I284" s="21"/>
      <c r="J284" s="22"/>
    </row>
    <row r="285" spans="1:10" ht="13.2" x14ac:dyDescent="0.25">
      <c r="A285" s="17"/>
      <c r="B285" s="17"/>
      <c r="D285" s="18"/>
      <c r="E285" s="18"/>
      <c r="F285" s="18"/>
      <c r="G285" s="18"/>
      <c r="H285" s="58"/>
      <c r="I285" s="21"/>
      <c r="J285" s="22"/>
    </row>
    <row r="286" spans="1:10" ht="13.2" x14ac:dyDescent="0.25">
      <c r="A286" s="17"/>
      <c r="B286" s="17"/>
      <c r="D286" s="18"/>
      <c r="E286" s="18"/>
      <c r="F286" s="18"/>
      <c r="G286" s="18"/>
      <c r="H286" s="58"/>
      <c r="I286" s="21"/>
      <c r="J286" s="22"/>
    </row>
    <row r="287" spans="1:10" ht="13.2" x14ac:dyDescent="0.25">
      <c r="A287" s="17"/>
      <c r="B287" s="17"/>
      <c r="D287" s="18"/>
      <c r="E287" s="18"/>
      <c r="F287" s="18"/>
      <c r="G287" s="18"/>
      <c r="H287" s="58"/>
      <c r="I287" s="21"/>
      <c r="J287" s="22"/>
    </row>
    <row r="288" spans="1:10" ht="13.2" x14ac:dyDescent="0.25">
      <c r="A288" s="17"/>
      <c r="B288" s="17"/>
      <c r="D288" s="18"/>
      <c r="E288" s="18"/>
      <c r="F288" s="18"/>
      <c r="G288" s="18"/>
      <c r="H288" s="58"/>
      <c r="I288" s="21"/>
      <c r="J288" s="22"/>
    </row>
    <row r="289" spans="1:10" ht="13.2" x14ac:dyDescent="0.25">
      <c r="A289" s="17"/>
      <c r="B289" s="17"/>
      <c r="D289" s="18"/>
      <c r="E289" s="18"/>
      <c r="F289" s="18"/>
      <c r="G289" s="18"/>
      <c r="H289" s="58"/>
      <c r="I289" s="21"/>
      <c r="J289" s="22"/>
    </row>
    <row r="290" spans="1:10" ht="13.2" x14ac:dyDescent="0.25">
      <c r="A290" s="17"/>
      <c r="B290" s="17"/>
      <c r="D290" s="18"/>
      <c r="E290" s="18"/>
      <c r="F290" s="18"/>
      <c r="G290" s="18"/>
      <c r="H290" s="58"/>
      <c r="I290" s="21"/>
      <c r="J290" s="22"/>
    </row>
    <row r="291" spans="1:10" ht="13.2" x14ac:dyDescent="0.25">
      <c r="A291" s="17"/>
      <c r="B291" s="17"/>
      <c r="D291" s="18"/>
      <c r="E291" s="18"/>
      <c r="F291" s="18"/>
      <c r="G291" s="18"/>
      <c r="H291" s="58"/>
      <c r="I291" s="21"/>
      <c r="J291" s="22"/>
    </row>
    <row r="292" spans="1:10" ht="13.2" x14ac:dyDescent="0.25">
      <c r="A292" s="17"/>
      <c r="B292" s="17"/>
      <c r="D292" s="18"/>
      <c r="E292" s="18"/>
      <c r="F292" s="18"/>
      <c r="G292" s="18"/>
      <c r="H292" s="58"/>
      <c r="I292" s="21"/>
      <c r="J292" s="22"/>
    </row>
    <row r="293" spans="1:10" ht="13.2" x14ac:dyDescent="0.25">
      <c r="A293" s="17"/>
      <c r="B293" s="17"/>
      <c r="D293" s="18"/>
      <c r="E293" s="18"/>
      <c r="F293" s="18"/>
      <c r="G293" s="18"/>
      <c r="H293" s="58"/>
      <c r="I293" s="21"/>
      <c r="J293" s="22"/>
    </row>
    <row r="294" spans="1:10" ht="13.2" x14ac:dyDescent="0.25">
      <c r="A294" s="17"/>
      <c r="B294" s="17"/>
      <c r="D294" s="18"/>
      <c r="E294" s="18"/>
      <c r="F294" s="18"/>
      <c r="G294" s="18"/>
      <c r="H294" s="58"/>
      <c r="I294" s="21"/>
      <c r="J294" s="22"/>
    </row>
    <row r="295" spans="1:10" ht="13.2" x14ac:dyDescent="0.25">
      <c r="A295" s="17"/>
      <c r="B295" s="17"/>
      <c r="D295" s="18"/>
      <c r="E295" s="18"/>
      <c r="F295" s="18"/>
      <c r="G295" s="18"/>
      <c r="H295" s="58"/>
      <c r="I295" s="21"/>
      <c r="J295" s="22"/>
    </row>
    <row r="296" spans="1:10" ht="13.2" x14ac:dyDescent="0.25">
      <c r="A296" s="17"/>
      <c r="B296" s="17"/>
      <c r="D296" s="18"/>
      <c r="E296" s="18"/>
      <c r="F296" s="18"/>
      <c r="G296" s="18"/>
      <c r="H296" s="58"/>
      <c r="I296" s="21"/>
      <c r="J296" s="22"/>
    </row>
    <row r="297" spans="1:10" ht="13.2" x14ac:dyDescent="0.25">
      <c r="A297" s="17"/>
      <c r="B297" s="17"/>
      <c r="D297" s="18"/>
      <c r="E297" s="18"/>
      <c r="F297" s="18"/>
      <c r="G297" s="18"/>
      <c r="H297" s="58"/>
      <c r="I297" s="21"/>
      <c r="J297" s="22"/>
    </row>
    <row r="298" spans="1:10" ht="13.2" x14ac:dyDescent="0.25">
      <c r="A298" s="17"/>
      <c r="B298" s="17"/>
      <c r="D298" s="18"/>
      <c r="E298" s="18"/>
      <c r="F298" s="18"/>
      <c r="G298" s="18"/>
      <c r="H298" s="58"/>
      <c r="I298" s="21"/>
      <c r="J298" s="22"/>
    </row>
    <row r="299" spans="1:10" ht="13.2" x14ac:dyDescent="0.25">
      <c r="A299" s="17"/>
      <c r="B299" s="17"/>
      <c r="D299" s="18"/>
      <c r="E299" s="18"/>
      <c r="F299" s="18"/>
      <c r="G299" s="18"/>
      <c r="H299" s="58"/>
      <c r="I299" s="21"/>
      <c r="J299" s="22"/>
    </row>
    <row r="300" spans="1:10" ht="13.2" x14ac:dyDescent="0.25">
      <c r="A300" s="17"/>
      <c r="B300" s="17"/>
      <c r="D300" s="18"/>
      <c r="E300" s="18"/>
      <c r="F300" s="18"/>
      <c r="G300" s="18"/>
      <c r="H300" s="58"/>
      <c r="I300" s="21"/>
      <c r="J300" s="22"/>
    </row>
    <row r="301" spans="1:10" ht="13.2" x14ac:dyDescent="0.25">
      <c r="A301" s="17"/>
      <c r="B301" s="17"/>
      <c r="D301" s="18"/>
      <c r="E301" s="18"/>
      <c r="F301" s="18"/>
      <c r="G301" s="18"/>
      <c r="H301" s="58"/>
      <c r="I301" s="21"/>
      <c r="J301" s="22"/>
    </row>
    <row r="302" spans="1:10" ht="13.2" x14ac:dyDescent="0.25">
      <c r="A302" s="17"/>
      <c r="B302" s="17"/>
      <c r="D302" s="18"/>
      <c r="E302" s="18"/>
      <c r="F302" s="18"/>
      <c r="G302" s="18"/>
      <c r="H302" s="58"/>
      <c r="I302" s="21"/>
      <c r="J302" s="22"/>
    </row>
    <row r="303" spans="1:10" ht="13.2" x14ac:dyDescent="0.25">
      <c r="A303" s="17"/>
      <c r="B303" s="17"/>
      <c r="D303" s="18"/>
      <c r="E303" s="18"/>
      <c r="F303" s="18"/>
      <c r="G303" s="18"/>
      <c r="H303" s="58"/>
      <c r="I303" s="21"/>
      <c r="J303" s="22"/>
    </row>
    <row r="304" spans="1:10" ht="13.2" x14ac:dyDescent="0.25">
      <c r="A304" s="17"/>
      <c r="B304" s="17"/>
      <c r="D304" s="18"/>
      <c r="E304" s="18"/>
      <c r="F304" s="18"/>
      <c r="G304" s="18"/>
      <c r="H304" s="58"/>
      <c r="I304" s="21"/>
      <c r="J304" s="22"/>
    </row>
    <row r="305" spans="1:10" ht="13.2" x14ac:dyDescent="0.25">
      <c r="A305" s="17"/>
      <c r="B305" s="17"/>
      <c r="D305" s="18"/>
      <c r="E305" s="18"/>
      <c r="F305" s="18"/>
      <c r="G305" s="18"/>
      <c r="H305" s="58"/>
      <c r="I305" s="21"/>
      <c r="J305" s="22"/>
    </row>
    <row r="306" spans="1:10" ht="13.2" x14ac:dyDescent="0.25">
      <c r="A306" s="17"/>
      <c r="B306" s="17"/>
      <c r="D306" s="18"/>
      <c r="E306" s="18"/>
      <c r="F306" s="18"/>
      <c r="G306" s="18"/>
      <c r="H306" s="58"/>
      <c r="I306" s="21"/>
      <c r="J306" s="22"/>
    </row>
    <row r="307" spans="1:10" ht="13.2" x14ac:dyDescent="0.25">
      <c r="A307" s="17"/>
      <c r="B307" s="17"/>
      <c r="D307" s="18"/>
      <c r="E307" s="18"/>
      <c r="F307" s="18"/>
      <c r="G307" s="18"/>
      <c r="H307" s="58"/>
      <c r="I307" s="21"/>
      <c r="J307" s="22"/>
    </row>
    <row r="308" spans="1:10" ht="13.2" x14ac:dyDescent="0.25">
      <c r="A308" s="17"/>
      <c r="B308" s="17"/>
      <c r="D308" s="18"/>
      <c r="E308" s="18"/>
      <c r="F308" s="18"/>
      <c r="G308" s="18"/>
      <c r="H308" s="58"/>
      <c r="I308" s="21"/>
      <c r="J308" s="22"/>
    </row>
    <row r="309" spans="1:10" ht="13.2" x14ac:dyDescent="0.25">
      <c r="A309" s="17"/>
      <c r="B309" s="17"/>
      <c r="D309" s="18"/>
      <c r="E309" s="18"/>
      <c r="F309" s="18"/>
      <c r="G309" s="18"/>
      <c r="H309" s="58"/>
      <c r="I309" s="21"/>
      <c r="J309" s="22"/>
    </row>
    <row r="310" spans="1:10" ht="13.2" x14ac:dyDescent="0.25">
      <c r="A310" s="17"/>
      <c r="B310" s="17"/>
      <c r="D310" s="18"/>
      <c r="E310" s="18"/>
      <c r="F310" s="18"/>
      <c r="G310" s="18"/>
      <c r="H310" s="58"/>
      <c r="I310" s="21"/>
      <c r="J310" s="22"/>
    </row>
    <row r="311" spans="1:10" ht="13.2" x14ac:dyDescent="0.25">
      <c r="A311" s="17"/>
      <c r="B311" s="17"/>
      <c r="D311" s="18"/>
      <c r="E311" s="18"/>
      <c r="F311" s="18"/>
      <c r="G311" s="18"/>
      <c r="H311" s="58"/>
      <c r="I311" s="21"/>
      <c r="J311" s="22"/>
    </row>
    <row r="312" spans="1:10" ht="13.2" x14ac:dyDescent="0.25">
      <c r="A312" s="17"/>
      <c r="B312" s="17"/>
      <c r="D312" s="18"/>
      <c r="E312" s="18"/>
      <c r="F312" s="18"/>
      <c r="G312" s="18"/>
      <c r="H312" s="58"/>
      <c r="I312" s="21"/>
      <c r="J312" s="22"/>
    </row>
    <row r="313" spans="1:10" ht="13.2" x14ac:dyDescent="0.25">
      <c r="A313" s="17"/>
      <c r="B313" s="17"/>
      <c r="D313" s="18"/>
      <c r="E313" s="18"/>
      <c r="F313" s="18"/>
      <c r="G313" s="18"/>
      <c r="H313" s="58"/>
      <c r="I313" s="21"/>
      <c r="J313" s="22"/>
    </row>
    <row r="314" spans="1:10" ht="13.2" x14ac:dyDescent="0.25">
      <c r="A314" s="17"/>
      <c r="B314" s="17"/>
      <c r="D314" s="18"/>
      <c r="E314" s="18"/>
      <c r="F314" s="18"/>
      <c r="G314" s="18"/>
      <c r="H314" s="58"/>
      <c r="I314" s="21"/>
      <c r="J314" s="22"/>
    </row>
    <row r="315" spans="1:10" ht="13.2" x14ac:dyDescent="0.25">
      <c r="A315" s="17"/>
      <c r="B315" s="17"/>
      <c r="D315" s="18"/>
      <c r="E315" s="18"/>
      <c r="F315" s="18"/>
      <c r="G315" s="18"/>
      <c r="H315" s="58"/>
      <c r="I315" s="21"/>
      <c r="J315" s="22"/>
    </row>
    <row r="316" spans="1:10" ht="13.2" x14ac:dyDescent="0.25">
      <c r="A316" s="17"/>
      <c r="B316" s="17"/>
      <c r="D316" s="18"/>
      <c r="E316" s="18"/>
      <c r="F316" s="18"/>
      <c r="G316" s="18"/>
      <c r="H316" s="58"/>
      <c r="I316" s="21"/>
      <c r="J316" s="22"/>
    </row>
    <row r="317" spans="1:10" ht="13.2" x14ac:dyDescent="0.25">
      <c r="A317" s="17"/>
      <c r="B317" s="17"/>
      <c r="D317" s="18"/>
      <c r="E317" s="18"/>
      <c r="F317" s="18"/>
      <c r="G317" s="18"/>
      <c r="H317" s="58"/>
      <c r="I317" s="21"/>
      <c r="J317" s="22"/>
    </row>
    <row r="318" spans="1:10" ht="13.2" x14ac:dyDescent="0.25">
      <c r="A318" s="17"/>
      <c r="B318" s="17"/>
      <c r="D318" s="18"/>
      <c r="E318" s="18"/>
      <c r="F318" s="18"/>
      <c r="G318" s="18"/>
      <c r="H318" s="58"/>
      <c r="I318" s="21"/>
      <c r="J318" s="22"/>
    </row>
    <row r="319" spans="1:10" ht="13.2" x14ac:dyDescent="0.25">
      <c r="A319" s="17"/>
      <c r="B319" s="17"/>
      <c r="D319" s="18"/>
      <c r="E319" s="18"/>
      <c r="F319" s="18"/>
      <c r="G319" s="18"/>
      <c r="H319" s="58"/>
      <c r="I319" s="21"/>
      <c r="J319" s="22"/>
    </row>
    <row r="320" spans="1:10" ht="13.2" x14ac:dyDescent="0.25">
      <c r="A320" s="17"/>
      <c r="B320" s="17"/>
      <c r="D320" s="18"/>
      <c r="E320" s="18"/>
      <c r="F320" s="18"/>
      <c r="G320" s="18"/>
      <c r="H320" s="58"/>
      <c r="I320" s="21"/>
      <c r="J320" s="22"/>
    </row>
    <row r="321" spans="1:10" ht="13.2" x14ac:dyDescent="0.25">
      <c r="A321" s="17"/>
      <c r="B321" s="17"/>
      <c r="D321" s="18"/>
      <c r="E321" s="18"/>
      <c r="F321" s="18"/>
      <c r="G321" s="18"/>
      <c r="H321" s="58"/>
      <c r="I321" s="21"/>
      <c r="J321" s="22"/>
    </row>
    <row r="322" spans="1:10" ht="13.2" x14ac:dyDescent="0.25">
      <c r="A322" s="17"/>
      <c r="B322" s="17"/>
      <c r="D322" s="18"/>
      <c r="E322" s="18"/>
      <c r="F322" s="18"/>
      <c r="G322" s="18"/>
      <c r="H322" s="58"/>
      <c r="I322" s="21"/>
      <c r="J322" s="22"/>
    </row>
    <row r="323" spans="1:10" ht="13.2" x14ac:dyDescent="0.25">
      <c r="A323" s="17"/>
      <c r="B323" s="17"/>
      <c r="D323" s="18"/>
      <c r="E323" s="18"/>
      <c r="F323" s="18"/>
      <c r="G323" s="18"/>
      <c r="H323" s="58"/>
      <c r="I323" s="21"/>
      <c r="J323" s="22"/>
    </row>
    <row r="324" spans="1:10" ht="13.2" x14ac:dyDescent="0.25">
      <c r="A324" s="17"/>
      <c r="B324" s="17"/>
      <c r="D324" s="18"/>
      <c r="E324" s="18"/>
      <c r="F324" s="18"/>
      <c r="G324" s="18"/>
      <c r="H324" s="58"/>
      <c r="I324" s="21"/>
      <c r="J324" s="22"/>
    </row>
    <row r="325" spans="1:10" ht="13.2" x14ac:dyDescent="0.25">
      <c r="A325" s="17"/>
      <c r="B325" s="17"/>
      <c r="D325" s="18"/>
      <c r="E325" s="18"/>
      <c r="F325" s="18"/>
      <c r="G325" s="18"/>
      <c r="H325" s="58"/>
      <c r="I325" s="21"/>
      <c r="J325" s="22"/>
    </row>
    <row r="326" spans="1:10" ht="13.2" x14ac:dyDescent="0.25">
      <c r="A326" s="17"/>
      <c r="B326" s="17"/>
      <c r="D326" s="18"/>
      <c r="E326" s="18"/>
      <c r="F326" s="18"/>
      <c r="G326" s="18"/>
      <c r="H326" s="58"/>
      <c r="I326" s="21"/>
      <c r="J326" s="22"/>
    </row>
    <row r="327" spans="1:10" ht="13.2" x14ac:dyDescent="0.25">
      <c r="A327" s="17"/>
      <c r="B327" s="17"/>
      <c r="D327" s="18"/>
      <c r="E327" s="18"/>
      <c r="F327" s="18"/>
      <c r="G327" s="18"/>
      <c r="H327" s="58"/>
      <c r="I327" s="21"/>
      <c r="J327" s="22"/>
    </row>
    <row r="328" spans="1:10" ht="13.2" x14ac:dyDescent="0.25">
      <c r="A328" s="17"/>
      <c r="B328" s="17"/>
      <c r="D328" s="18"/>
      <c r="E328" s="18"/>
      <c r="F328" s="18"/>
      <c r="G328" s="18"/>
      <c r="H328" s="58"/>
      <c r="I328" s="21"/>
      <c r="J328" s="22"/>
    </row>
    <row r="329" spans="1:10" ht="13.2" x14ac:dyDescent="0.25">
      <c r="A329" s="17"/>
      <c r="B329" s="17"/>
      <c r="D329" s="18"/>
      <c r="E329" s="18"/>
      <c r="F329" s="18"/>
      <c r="G329" s="18"/>
      <c r="H329" s="58"/>
      <c r="I329" s="21"/>
      <c r="J329" s="22"/>
    </row>
    <row r="330" spans="1:10" ht="13.2" x14ac:dyDescent="0.25">
      <c r="A330" s="17"/>
      <c r="B330" s="17"/>
      <c r="D330" s="18"/>
      <c r="E330" s="18"/>
      <c r="F330" s="18"/>
      <c r="G330" s="18"/>
      <c r="H330" s="58"/>
      <c r="I330" s="21"/>
      <c r="J330" s="22"/>
    </row>
    <row r="331" spans="1:10" ht="13.2" x14ac:dyDescent="0.25">
      <c r="A331" s="17"/>
      <c r="B331" s="17"/>
      <c r="D331" s="18"/>
      <c r="E331" s="18"/>
      <c r="F331" s="18"/>
      <c r="G331" s="18"/>
      <c r="H331" s="58"/>
      <c r="I331" s="21"/>
      <c r="J331" s="22"/>
    </row>
    <row r="332" spans="1:10" ht="13.2" x14ac:dyDescent="0.25">
      <c r="A332" s="17"/>
      <c r="B332" s="17"/>
      <c r="D332" s="18"/>
      <c r="E332" s="18"/>
      <c r="F332" s="18"/>
      <c r="G332" s="18"/>
      <c r="H332" s="58"/>
      <c r="I332" s="21"/>
      <c r="J332" s="22"/>
    </row>
    <row r="333" spans="1:10" ht="13.2" x14ac:dyDescent="0.25">
      <c r="A333" s="17"/>
      <c r="B333" s="17"/>
      <c r="D333" s="18"/>
      <c r="E333" s="18"/>
      <c r="F333" s="18"/>
      <c r="G333" s="18"/>
      <c r="H333" s="58"/>
      <c r="I333" s="21"/>
      <c r="J333" s="22"/>
    </row>
    <row r="334" spans="1:10" ht="13.2" x14ac:dyDescent="0.25">
      <c r="A334" s="17"/>
      <c r="B334" s="17"/>
      <c r="D334" s="18"/>
      <c r="E334" s="18"/>
      <c r="F334" s="18"/>
      <c r="G334" s="18"/>
      <c r="H334" s="58"/>
      <c r="I334" s="21"/>
      <c r="J334" s="22"/>
    </row>
    <row r="335" spans="1:10" ht="13.2" x14ac:dyDescent="0.25">
      <c r="A335" s="17"/>
      <c r="B335" s="17"/>
      <c r="D335" s="18"/>
      <c r="E335" s="18"/>
      <c r="F335" s="18"/>
      <c r="G335" s="18"/>
      <c r="H335" s="58"/>
      <c r="I335" s="21"/>
      <c r="J335" s="22"/>
    </row>
    <row r="336" spans="1:10" ht="13.2" x14ac:dyDescent="0.25">
      <c r="A336" s="17"/>
      <c r="B336" s="17"/>
      <c r="D336" s="18"/>
      <c r="E336" s="18"/>
      <c r="F336" s="18"/>
      <c r="G336" s="18"/>
      <c r="H336" s="58"/>
      <c r="I336" s="21"/>
      <c r="J336" s="22"/>
    </row>
    <row r="337" spans="1:10" ht="13.2" x14ac:dyDescent="0.25">
      <c r="A337" s="17"/>
      <c r="B337" s="17"/>
      <c r="D337" s="18"/>
      <c r="E337" s="18"/>
      <c r="F337" s="18"/>
      <c r="G337" s="18"/>
      <c r="H337" s="58"/>
      <c r="I337" s="21"/>
      <c r="J337" s="22"/>
    </row>
    <row r="338" spans="1:10" ht="13.2" x14ac:dyDescent="0.25">
      <c r="A338" s="17"/>
      <c r="B338" s="17"/>
      <c r="D338" s="18"/>
      <c r="E338" s="18"/>
      <c r="F338" s="18"/>
      <c r="G338" s="18"/>
      <c r="H338" s="58"/>
      <c r="I338" s="21"/>
      <c r="J338" s="22"/>
    </row>
    <row r="339" spans="1:10" ht="13.2" x14ac:dyDescent="0.25">
      <c r="A339" s="17"/>
      <c r="B339" s="17"/>
      <c r="D339" s="18"/>
      <c r="E339" s="18"/>
      <c r="F339" s="18"/>
      <c r="G339" s="18"/>
      <c r="H339" s="58"/>
      <c r="I339" s="21"/>
      <c r="J339" s="22"/>
    </row>
    <row r="340" spans="1:10" ht="13.2" x14ac:dyDescent="0.25">
      <c r="A340" s="17"/>
      <c r="B340" s="17"/>
      <c r="D340" s="18"/>
      <c r="E340" s="18"/>
      <c r="F340" s="18"/>
      <c r="G340" s="18"/>
      <c r="H340" s="58"/>
      <c r="I340" s="21"/>
      <c r="J340" s="22"/>
    </row>
    <row r="341" spans="1:10" ht="13.2" x14ac:dyDescent="0.25">
      <c r="A341" s="17"/>
      <c r="B341" s="17"/>
      <c r="D341" s="18"/>
      <c r="E341" s="18"/>
      <c r="F341" s="18"/>
      <c r="G341" s="18"/>
      <c r="H341" s="58"/>
      <c r="I341" s="21"/>
      <c r="J341" s="22"/>
    </row>
    <row r="342" spans="1:10" ht="13.2" x14ac:dyDescent="0.25">
      <c r="A342" s="17"/>
      <c r="B342" s="17"/>
      <c r="D342" s="18"/>
      <c r="E342" s="18"/>
      <c r="F342" s="18"/>
      <c r="G342" s="18"/>
      <c r="H342" s="58"/>
      <c r="I342" s="21"/>
      <c r="J342" s="22"/>
    </row>
    <row r="343" spans="1:10" ht="13.2" x14ac:dyDescent="0.25">
      <c r="A343" s="17"/>
      <c r="B343" s="17"/>
      <c r="D343" s="18"/>
      <c r="E343" s="18"/>
      <c r="F343" s="18"/>
      <c r="G343" s="18"/>
      <c r="H343" s="58"/>
      <c r="I343" s="21"/>
      <c r="J343" s="22"/>
    </row>
    <row r="344" spans="1:10" ht="13.2" x14ac:dyDescent="0.25">
      <c r="A344" s="17"/>
      <c r="B344" s="17"/>
      <c r="D344" s="18"/>
      <c r="E344" s="18"/>
      <c r="F344" s="18"/>
      <c r="G344" s="18"/>
      <c r="H344" s="58"/>
      <c r="I344" s="21"/>
      <c r="J344" s="22"/>
    </row>
    <row r="345" spans="1:10" ht="13.2" x14ac:dyDescent="0.25">
      <c r="A345" s="17"/>
      <c r="B345" s="17"/>
      <c r="D345" s="18"/>
      <c r="E345" s="18"/>
      <c r="F345" s="18"/>
      <c r="G345" s="18"/>
      <c r="H345" s="58"/>
      <c r="I345" s="21"/>
      <c r="J345" s="22"/>
    </row>
    <row r="346" spans="1:10" ht="13.2" x14ac:dyDescent="0.25">
      <c r="A346" s="17"/>
      <c r="B346" s="17"/>
      <c r="D346" s="18"/>
      <c r="E346" s="18"/>
      <c r="F346" s="18"/>
      <c r="G346" s="18"/>
      <c r="H346" s="58"/>
      <c r="I346" s="21"/>
      <c r="J346" s="22"/>
    </row>
    <row r="347" spans="1:10" ht="13.2" x14ac:dyDescent="0.25">
      <c r="A347" s="17"/>
      <c r="B347" s="17"/>
      <c r="D347" s="18"/>
      <c r="E347" s="18"/>
      <c r="F347" s="18"/>
      <c r="G347" s="18"/>
      <c r="H347" s="58"/>
      <c r="I347" s="21"/>
      <c r="J347" s="22"/>
    </row>
    <row r="348" spans="1:10" ht="13.2" x14ac:dyDescent="0.25">
      <c r="A348" s="17"/>
      <c r="B348" s="17"/>
      <c r="D348" s="18"/>
      <c r="E348" s="18"/>
      <c r="F348" s="18"/>
      <c r="G348" s="18"/>
      <c r="H348" s="58"/>
      <c r="I348" s="21"/>
      <c r="J348" s="22"/>
    </row>
    <row r="349" spans="1:10" ht="13.2" x14ac:dyDescent="0.25">
      <c r="A349" s="17"/>
      <c r="B349" s="17"/>
      <c r="D349" s="18"/>
      <c r="E349" s="18"/>
      <c r="F349" s="18"/>
      <c r="G349" s="18"/>
      <c r="H349" s="58"/>
      <c r="I349" s="21"/>
      <c r="J349" s="22"/>
    </row>
    <row r="350" spans="1:10" ht="13.2" x14ac:dyDescent="0.25">
      <c r="A350" s="17"/>
      <c r="B350" s="17"/>
      <c r="D350" s="18"/>
      <c r="E350" s="18"/>
      <c r="F350" s="18"/>
      <c r="G350" s="18"/>
      <c r="H350" s="58"/>
      <c r="I350" s="21"/>
      <c r="J350" s="22"/>
    </row>
    <row r="351" spans="1:10" ht="13.2" x14ac:dyDescent="0.25">
      <c r="A351" s="17"/>
      <c r="B351" s="17"/>
      <c r="D351" s="18"/>
      <c r="E351" s="18"/>
      <c r="F351" s="18"/>
      <c r="G351" s="18"/>
      <c r="H351" s="58"/>
      <c r="I351" s="21"/>
      <c r="J351" s="22"/>
    </row>
    <row r="352" spans="1:10" ht="13.2" x14ac:dyDescent="0.25">
      <c r="A352" s="17"/>
      <c r="B352" s="17"/>
      <c r="D352" s="18"/>
      <c r="E352" s="18"/>
      <c r="F352" s="18"/>
      <c r="G352" s="18"/>
      <c r="H352" s="58"/>
      <c r="I352" s="21"/>
      <c r="J352" s="22"/>
    </row>
    <row r="353" spans="1:10" ht="13.2" x14ac:dyDescent="0.25">
      <c r="A353" s="17"/>
      <c r="B353" s="17"/>
      <c r="D353" s="18"/>
      <c r="E353" s="18"/>
      <c r="F353" s="18"/>
      <c r="G353" s="18"/>
      <c r="H353" s="58"/>
      <c r="I353" s="21"/>
      <c r="J353" s="22"/>
    </row>
    <row r="354" spans="1:10" ht="13.2" x14ac:dyDescent="0.25">
      <c r="A354" s="17"/>
      <c r="B354" s="17"/>
      <c r="D354" s="18"/>
      <c r="E354" s="18"/>
      <c r="F354" s="18"/>
      <c r="G354" s="18"/>
      <c r="H354" s="58"/>
      <c r="I354" s="21"/>
      <c r="J354" s="22"/>
    </row>
    <row r="355" spans="1:10" ht="13.2" x14ac:dyDescent="0.25">
      <c r="A355" s="17"/>
      <c r="B355" s="17"/>
      <c r="D355" s="18"/>
      <c r="E355" s="18"/>
      <c r="F355" s="18"/>
      <c r="G355" s="18"/>
      <c r="H355" s="58"/>
      <c r="I355" s="21"/>
      <c r="J355" s="22"/>
    </row>
    <row r="356" spans="1:10" ht="13.2" x14ac:dyDescent="0.25">
      <c r="A356" s="17"/>
      <c r="B356" s="17"/>
      <c r="D356" s="18"/>
      <c r="E356" s="18"/>
      <c r="F356" s="18"/>
      <c r="G356" s="18"/>
      <c r="H356" s="58"/>
      <c r="I356" s="21"/>
      <c r="J356" s="22"/>
    </row>
    <row r="357" spans="1:10" ht="13.2" x14ac:dyDescent="0.25">
      <c r="A357" s="17"/>
      <c r="B357" s="17"/>
      <c r="D357" s="18"/>
      <c r="E357" s="18"/>
      <c r="F357" s="18"/>
      <c r="G357" s="18"/>
      <c r="H357" s="58"/>
      <c r="I357" s="21"/>
      <c r="J357" s="22"/>
    </row>
    <row r="358" spans="1:10" ht="13.2" x14ac:dyDescent="0.25">
      <c r="A358" s="17"/>
      <c r="B358" s="17"/>
      <c r="D358" s="18"/>
      <c r="E358" s="18"/>
      <c r="F358" s="18"/>
      <c r="G358" s="18"/>
      <c r="H358" s="58"/>
      <c r="I358" s="21"/>
      <c r="J358" s="22"/>
    </row>
    <row r="359" spans="1:10" ht="13.2" x14ac:dyDescent="0.25">
      <c r="A359" s="17"/>
      <c r="B359" s="17"/>
      <c r="D359" s="18"/>
      <c r="E359" s="18"/>
      <c r="F359" s="18"/>
      <c r="G359" s="18"/>
      <c r="H359" s="58"/>
      <c r="I359" s="21"/>
      <c r="J359" s="22"/>
    </row>
    <row r="360" spans="1:10" ht="13.2" x14ac:dyDescent="0.25">
      <c r="A360" s="17"/>
      <c r="B360" s="17"/>
      <c r="D360" s="18"/>
      <c r="E360" s="18"/>
      <c r="F360" s="18"/>
      <c r="G360" s="18"/>
      <c r="H360" s="58"/>
      <c r="I360" s="21"/>
      <c r="J360" s="22"/>
    </row>
    <row r="361" spans="1:10" ht="13.2" x14ac:dyDescent="0.25">
      <c r="A361" s="17"/>
      <c r="B361" s="17"/>
      <c r="D361" s="18"/>
      <c r="E361" s="18"/>
      <c r="F361" s="18"/>
      <c r="G361" s="18"/>
      <c r="H361" s="58"/>
      <c r="I361" s="21"/>
      <c r="J361" s="22"/>
    </row>
    <row r="362" spans="1:10" ht="13.2" x14ac:dyDescent="0.25">
      <c r="A362" s="17"/>
      <c r="B362" s="17"/>
      <c r="D362" s="18"/>
      <c r="E362" s="18"/>
      <c r="F362" s="18"/>
      <c r="G362" s="18"/>
      <c r="H362" s="58"/>
      <c r="I362" s="21"/>
      <c r="J362" s="22"/>
    </row>
    <row r="363" spans="1:10" ht="13.2" x14ac:dyDescent="0.25">
      <c r="A363" s="17"/>
      <c r="B363" s="17"/>
      <c r="D363" s="18"/>
      <c r="E363" s="18"/>
      <c r="F363" s="18"/>
      <c r="G363" s="18"/>
      <c r="H363" s="58"/>
      <c r="I363" s="21"/>
      <c r="J363" s="22"/>
    </row>
    <row r="364" spans="1:10" ht="13.2" x14ac:dyDescent="0.25">
      <c r="A364" s="17"/>
      <c r="B364" s="17"/>
      <c r="D364" s="18"/>
      <c r="E364" s="18"/>
      <c r="F364" s="18"/>
      <c r="G364" s="18"/>
      <c r="H364" s="58"/>
      <c r="I364" s="21"/>
      <c r="J364" s="22"/>
    </row>
    <row r="365" spans="1:10" ht="13.2" x14ac:dyDescent="0.25">
      <c r="A365" s="17"/>
      <c r="B365" s="17"/>
      <c r="D365" s="18"/>
      <c r="E365" s="18"/>
      <c r="F365" s="18"/>
      <c r="G365" s="18"/>
      <c r="H365" s="58"/>
      <c r="I365" s="21"/>
      <c r="J365" s="22"/>
    </row>
    <row r="366" spans="1:10" ht="13.2" x14ac:dyDescent="0.25">
      <c r="A366" s="17"/>
      <c r="B366" s="17"/>
      <c r="D366" s="18"/>
      <c r="E366" s="18"/>
      <c r="F366" s="18"/>
      <c r="G366" s="18"/>
      <c r="H366" s="58"/>
      <c r="I366" s="21"/>
      <c r="J366" s="22"/>
    </row>
    <row r="367" spans="1:10" ht="13.2" x14ac:dyDescent="0.25">
      <c r="A367" s="17"/>
      <c r="B367" s="17"/>
      <c r="D367" s="18"/>
      <c r="E367" s="18"/>
      <c r="F367" s="18"/>
      <c r="G367" s="18"/>
      <c r="H367" s="58"/>
      <c r="I367" s="21"/>
      <c r="J367" s="22"/>
    </row>
    <row r="368" spans="1:10" ht="13.2" x14ac:dyDescent="0.25">
      <c r="A368" s="17"/>
      <c r="B368" s="17"/>
      <c r="D368" s="18"/>
      <c r="E368" s="18"/>
      <c r="F368" s="18"/>
      <c r="G368" s="18"/>
      <c r="H368" s="58"/>
      <c r="I368" s="21"/>
      <c r="J368" s="22"/>
    </row>
    <row r="369" spans="1:10" ht="13.2" x14ac:dyDescent="0.25">
      <c r="A369" s="17"/>
      <c r="B369" s="17"/>
      <c r="D369" s="18"/>
      <c r="E369" s="18"/>
      <c r="F369" s="18"/>
      <c r="G369" s="18"/>
      <c r="H369" s="58"/>
      <c r="I369" s="21"/>
      <c r="J369" s="22"/>
    </row>
    <row r="370" spans="1:10" ht="13.2" x14ac:dyDescent="0.25">
      <c r="A370" s="17"/>
      <c r="B370" s="17"/>
      <c r="D370" s="18"/>
      <c r="E370" s="18"/>
      <c r="F370" s="18"/>
      <c r="G370" s="18"/>
      <c r="H370" s="58"/>
      <c r="I370" s="21"/>
      <c r="J370" s="22"/>
    </row>
    <row r="371" spans="1:10" ht="13.2" x14ac:dyDescent="0.25">
      <c r="A371" s="17"/>
      <c r="B371" s="17"/>
      <c r="D371" s="18"/>
      <c r="E371" s="18"/>
      <c r="F371" s="18"/>
      <c r="G371" s="18"/>
      <c r="H371" s="58"/>
      <c r="I371" s="21"/>
      <c r="J371" s="22"/>
    </row>
    <row r="372" spans="1:10" ht="13.2" x14ac:dyDescent="0.25">
      <c r="A372" s="17"/>
      <c r="B372" s="17"/>
      <c r="D372" s="18"/>
      <c r="E372" s="18"/>
      <c r="F372" s="18"/>
      <c r="G372" s="18"/>
      <c r="H372" s="58"/>
      <c r="I372" s="21"/>
      <c r="J372" s="22"/>
    </row>
    <row r="373" spans="1:10" ht="13.2" x14ac:dyDescent="0.25">
      <c r="A373" s="17"/>
      <c r="B373" s="17"/>
      <c r="D373" s="18"/>
      <c r="E373" s="18"/>
      <c r="F373" s="18"/>
      <c r="G373" s="18"/>
      <c r="H373" s="58"/>
      <c r="I373" s="21"/>
      <c r="J373" s="22"/>
    </row>
    <row r="374" spans="1:10" ht="13.2" x14ac:dyDescent="0.25">
      <c r="A374" s="17"/>
      <c r="B374" s="17"/>
      <c r="D374" s="18"/>
      <c r="E374" s="18"/>
      <c r="F374" s="18"/>
      <c r="G374" s="18"/>
      <c r="H374" s="58"/>
      <c r="I374" s="21"/>
      <c r="J374" s="22"/>
    </row>
    <row r="375" spans="1:10" ht="13.2" x14ac:dyDescent="0.25">
      <c r="A375" s="17"/>
      <c r="B375" s="17"/>
      <c r="D375" s="18"/>
      <c r="E375" s="18"/>
      <c r="F375" s="18"/>
      <c r="G375" s="18"/>
      <c r="H375" s="58"/>
      <c r="I375" s="21"/>
      <c r="J375" s="22"/>
    </row>
    <row r="376" spans="1:10" ht="13.2" x14ac:dyDescent="0.25">
      <c r="A376" s="17"/>
      <c r="B376" s="17"/>
      <c r="D376" s="18"/>
      <c r="E376" s="18"/>
      <c r="F376" s="18"/>
      <c r="G376" s="18"/>
      <c r="H376" s="58"/>
      <c r="I376" s="21"/>
      <c r="J376" s="22"/>
    </row>
    <row r="377" spans="1:10" ht="13.2" x14ac:dyDescent="0.25">
      <c r="A377" s="17"/>
      <c r="B377" s="17"/>
      <c r="D377" s="18"/>
      <c r="E377" s="18"/>
      <c r="F377" s="18"/>
      <c r="G377" s="18"/>
      <c r="H377" s="58"/>
      <c r="I377" s="21"/>
      <c r="J377" s="22"/>
    </row>
    <row r="378" spans="1:10" ht="13.2" x14ac:dyDescent="0.25">
      <c r="A378" s="17"/>
      <c r="B378" s="17"/>
      <c r="D378" s="18"/>
      <c r="E378" s="18"/>
      <c r="F378" s="18"/>
      <c r="G378" s="18"/>
      <c r="H378" s="58"/>
      <c r="I378" s="21"/>
      <c r="J378" s="22"/>
    </row>
    <row r="379" spans="1:10" ht="13.2" x14ac:dyDescent="0.25">
      <c r="A379" s="17"/>
      <c r="B379" s="17"/>
      <c r="D379" s="18"/>
      <c r="E379" s="18"/>
      <c r="F379" s="18"/>
      <c r="G379" s="18"/>
      <c r="H379" s="58"/>
      <c r="I379" s="21"/>
      <c r="J379" s="22"/>
    </row>
    <row r="380" spans="1:10" ht="13.2" x14ac:dyDescent="0.25">
      <c r="A380" s="17"/>
      <c r="B380" s="17"/>
      <c r="D380" s="18"/>
      <c r="E380" s="18"/>
      <c r="F380" s="18"/>
      <c r="G380" s="18"/>
      <c r="H380" s="58"/>
      <c r="I380" s="21"/>
      <c r="J380" s="22"/>
    </row>
    <row r="381" spans="1:10" ht="13.2" x14ac:dyDescent="0.25">
      <c r="A381" s="17"/>
      <c r="B381" s="17"/>
      <c r="D381" s="18"/>
      <c r="E381" s="18"/>
      <c r="F381" s="18"/>
      <c r="G381" s="18"/>
      <c r="H381" s="58"/>
      <c r="I381" s="21"/>
      <c r="J381" s="22"/>
    </row>
    <row r="382" spans="1:10" ht="13.2" x14ac:dyDescent="0.25">
      <c r="A382" s="17"/>
      <c r="B382" s="17"/>
      <c r="D382" s="18"/>
      <c r="E382" s="18"/>
      <c r="F382" s="18"/>
      <c r="G382" s="18"/>
      <c r="H382" s="58"/>
      <c r="I382" s="21"/>
      <c r="J382" s="22"/>
    </row>
    <row r="383" spans="1:10" ht="13.2" x14ac:dyDescent="0.25">
      <c r="A383" s="17"/>
      <c r="B383" s="17"/>
      <c r="D383" s="18"/>
      <c r="E383" s="18"/>
      <c r="F383" s="18"/>
      <c r="G383" s="18"/>
      <c r="H383" s="58"/>
      <c r="I383" s="21"/>
      <c r="J383" s="22"/>
    </row>
    <row r="384" spans="1:10" ht="13.2" x14ac:dyDescent="0.25">
      <c r="A384" s="17"/>
      <c r="B384" s="17"/>
      <c r="D384" s="18"/>
      <c r="E384" s="18"/>
      <c r="F384" s="18"/>
      <c r="G384" s="18"/>
      <c r="H384" s="58"/>
      <c r="I384" s="21"/>
      <c r="J384" s="22"/>
    </row>
    <row r="385" spans="1:10" ht="13.2" x14ac:dyDescent="0.25">
      <c r="A385" s="17"/>
      <c r="B385" s="17"/>
      <c r="D385" s="18"/>
      <c r="E385" s="18"/>
      <c r="F385" s="18"/>
      <c r="G385" s="18"/>
      <c r="H385" s="58"/>
      <c r="I385" s="21"/>
      <c r="J385" s="22"/>
    </row>
    <row r="386" spans="1:10" ht="13.2" x14ac:dyDescent="0.25">
      <c r="A386" s="17"/>
      <c r="B386" s="17"/>
      <c r="D386" s="18"/>
      <c r="E386" s="18"/>
      <c r="F386" s="18"/>
      <c r="G386" s="18"/>
      <c r="H386" s="58"/>
      <c r="I386" s="21"/>
      <c r="J386" s="22"/>
    </row>
    <row r="387" spans="1:10" ht="13.2" x14ac:dyDescent="0.25">
      <c r="A387" s="17"/>
      <c r="B387" s="17"/>
      <c r="D387" s="18"/>
      <c r="E387" s="18"/>
      <c r="F387" s="18"/>
      <c r="G387" s="18"/>
      <c r="H387" s="58"/>
      <c r="I387" s="21"/>
      <c r="J387" s="22"/>
    </row>
    <row r="388" spans="1:10" ht="13.2" x14ac:dyDescent="0.25">
      <c r="A388" s="17"/>
      <c r="B388" s="17"/>
      <c r="D388" s="18"/>
      <c r="E388" s="18"/>
      <c r="F388" s="18"/>
      <c r="G388" s="18"/>
      <c r="H388" s="58"/>
      <c r="I388" s="21"/>
      <c r="J388" s="22"/>
    </row>
    <row r="389" spans="1:10" ht="13.2" x14ac:dyDescent="0.25">
      <c r="A389" s="17"/>
      <c r="B389" s="17"/>
      <c r="D389" s="18"/>
      <c r="E389" s="18"/>
      <c r="F389" s="18"/>
      <c r="G389" s="18"/>
      <c r="H389" s="58"/>
      <c r="I389" s="21"/>
      <c r="J389" s="22"/>
    </row>
    <row r="390" spans="1:10" ht="13.2" x14ac:dyDescent="0.25">
      <c r="A390" s="17"/>
      <c r="B390" s="17"/>
      <c r="D390" s="18"/>
      <c r="E390" s="18"/>
      <c r="F390" s="18"/>
      <c r="G390" s="18"/>
      <c r="H390" s="58"/>
      <c r="I390" s="21"/>
      <c r="J390" s="22"/>
    </row>
    <row r="391" spans="1:10" ht="13.2" x14ac:dyDescent="0.25">
      <c r="A391" s="17"/>
      <c r="B391" s="17"/>
      <c r="D391" s="18"/>
      <c r="E391" s="18"/>
      <c r="F391" s="18"/>
      <c r="G391" s="18"/>
      <c r="H391" s="58"/>
      <c r="I391" s="21"/>
      <c r="J391" s="22"/>
    </row>
    <row r="392" spans="1:10" ht="13.2" x14ac:dyDescent="0.25">
      <c r="A392" s="17"/>
      <c r="B392" s="17"/>
      <c r="D392" s="18"/>
      <c r="E392" s="18"/>
      <c r="F392" s="18"/>
      <c r="G392" s="18"/>
      <c r="H392" s="58"/>
      <c r="I392" s="21"/>
      <c r="J392" s="22"/>
    </row>
    <row r="393" spans="1:10" ht="13.2" x14ac:dyDescent="0.25">
      <c r="A393" s="17"/>
      <c r="B393" s="17"/>
      <c r="D393" s="18"/>
      <c r="E393" s="18"/>
      <c r="F393" s="18"/>
      <c r="G393" s="18"/>
      <c r="H393" s="58"/>
      <c r="I393" s="21"/>
      <c r="J393" s="22"/>
    </row>
    <row r="394" spans="1:10" ht="13.2" x14ac:dyDescent="0.25">
      <c r="A394" s="17"/>
      <c r="B394" s="17"/>
      <c r="D394" s="18"/>
      <c r="E394" s="18"/>
      <c r="F394" s="18"/>
      <c r="G394" s="18"/>
      <c r="H394" s="58"/>
      <c r="I394" s="21"/>
      <c r="J394" s="22"/>
    </row>
    <row r="395" spans="1:10" ht="13.2" x14ac:dyDescent="0.25">
      <c r="A395" s="17"/>
      <c r="B395" s="17"/>
      <c r="D395" s="18"/>
      <c r="E395" s="18"/>
      <c r="F395" s="18"/>
      <c r="G395" s="18"/>
      <c r="H395" s="58"/>
      <c r="I395" s="21"/>
      <c r="J395" s="22"/>
    </row>
    <row r="396" spans="1:10" ht="13.2" x14ac:dyDescent="0.25">
      <c r="A396" s="17"/>
      <c r="B396" s="17"/>
      <c r="D396" s="18"/>
      <c r="E396" s="18"/>
      <c r="F396" s="18"/>
      <c r="G396" s="18"/>
      <c r="H396" s="58"/>
      <c r="I396" s="21"/>
      <c r="J396" s="22"/>
    </row>
    <row r="397" spans="1:10" ht="13.2" x14ac:dyDescent="0.25">
      <c r="A397" s="17"/>
      <c r="B397" s="17"/>
      <c r="D397" s="18"/>
      <c r="E397" s="18"/>
      <c r="F397" s="18"/>
      <c r="G397" s="18"/>
      <c r="H397" s="58"/>
      <c r="I397" s="21"/>
      <c r="J397" s="22"/>
    </row>
    <row r="398" spans="1:10" ht="13.2" x14ac:dyDescent="0.25">
      <c r="A398" s="17"/>
      <c r="B398" s="17"/>
      <c r="D398" s="18"/>
      <c r="E398" s="18"/>
      <c r="F398" s="18"/>
      <c r="G398" s="18"/>
      <c r="H398" s="58"/>
      <c r="I398" s="21"/>
      <c r="J398" s="22"/>
    </row>
    <row r="399" spans="1:10" ht="13.2" x14ac:dyDescent="0.25">
      <c r="A399" s="17"/>
      <c r="B399" s="17"/>
      <c r="D399" s="18"/>
      <c r="E399" s="18"/>
      <c r="F399" s="18"/>
      <c r="G399" s="18"/>
      <c r="H399" s="58"/>
      <c r="I399" s="21"/>
      <c r="J399" s="22"/>
    </row>
    <row r="400" spans="1:10" ht="13.2" x14ac:dyDescent="0.25">
      <c r="A400" s="17"/>
      <c r="B400" s="17"/>
      <c r="D400" s="18"/>
      <c r="E400" s="18"/>
      <c r="F400" s="18"/>
      <c r="G400" s="18"/>
      <c r="H400" s="58"/>
      <c r="I400" s="21"/>
      <c r="J400" s="22"/>
    </row>
    <row r="401" spans="1:10" ht="13.2" x14ac:dyDescent="0.25">
      <c r="A401" s="17"/>
      <c r="B401" s="17"/>
      <c r="D401" s="18"/>
      <c r="E401" s="18"/>
      <c r="F401" s="18"/>
      <c r="G401" s="18"/>
      <c r="H401" s="58"/>
      <c r="I401" s="21"/>
      <c r="J401" s="22"/>
    </row>
    <row r="402" spans="1:10" ht="13.2" x14ac:dyDescent="0.25">
      <c r="A402" s="17"/>
      <c r="B402" s="17"/>
      <c r="D402" s="18"/>
      <c r="E402" s="18"/>
      <c r="F402" s="18"/>
      <c r="G402" s="18"/>
      <c r="H402" s="58"/>
      <c r="I402" s="21"/>
      <c r="J402" s="22"/>
    </row>
    <row r="403" spans="1:10" ht="13.2" x14ac:dyDescent="0.25">
      <c r="A403" s="17"/>
      <c r="B403" s="17"/>
      <c r="D403" s="18"/>
      <c r="E403" s="18"/>
      <c r="F403" s="18"/>
      <c r="G403" s="18"/>
      <c r="H403" s="58"/>
      <c r="I403" s="21"/>
      <c r="J403" s="22"/>
    </row>
    <row r="404" spans="1:10" ht="13.2" x14ac:dyDescent="0.25">
      <c r="A404" s="17"/>
      <c r="B404" s="17"/>
      <c r="D404" s="18"/>
      <c r="E404" s="18"/>
      <c r="F404" s="18"/>
      <c r="G404" s="18"/>
      <c r="H404" s="58"/>
      <c r="I404" s="21"/>
      <c r="J404" s="22"/>
    </row>
    <row r="405" spans="1:10" ht="13.2" x14ac:dyDescent="0.25">
      <c r="A405" s="17"/>
      <c r="B405" s="17"/>
      <c r="D405" s="18"/>
      <c r="E405" s="18"/>
      <c r="F405" s="18"/>
      <c r="G405" s="18"/>
      <c r="H405" s="58"/>
      <c r="I405" s="21"/>
      <c r="J405" s="22"/>
    </row>
    <row r="406" spans="1:10" ht="13.2" x14ac:dyDescent="0.25">
      <c r="A406" s="17"/>
      <c r="B406" s="17"/>
      <c r="D406" s="18"/>
      <c r="E406" s="18"/>
      <c r="F406" s="18"/>
      <c r="G406" s="18"/>
      <c r="H406" s="58"/>
      <c r="I406" s="21"/>
      <c r="J406" s="22"/>
    </row>
    <row r="407" spans="1:10" ht="13.2" x14ac:dyDescent="0.25">
      <c r="A407" s="17"/>
      <c r="B407" s="17"/>
      <c r="D407" s="18"/>
      <c r="E407" s="18"/>
      <c r="F407" s="18"/>
      <c r="G407" s="18"/>
      <c r="H407" s="58"/>
      <c r="I407" s="21"/>
      <c r="J407" s="22"/>
    </row>
    <row r="408" spans="1:10" ht="13.2" x14ac:dyDescent="0.25">
      <c r="A408" s="17"/>
      <c r="B408" s="17"/>
      <c r="D408" s="18"/>
      <c r="E408" s="18"/>
      <c r="F408" s="18"/>
      <c r="G408" s="18"/>
      <c r="H408" s="58"/>
      <c r="I408" s="21"/>
      <c r="J408" s="22"/>
    </row>
    <row r="409" spans="1:10" ht="13.2" x14ac:dyDescent="0.25">
      <c r="A409" s="17"/>
      <c r="B409" s="17"/>
      <c r="D409" s="18"/>
      <c r="E409" s="18"/>
      <c r="F409" s="18"/>
      <c r="G409" s="18"/>
      <c r="H409" s="58"/>
      <c r="I409" s="21"/>
      <c r="J409" s="22"/>
    </row>
    <row r="410" spans="1:10" ht="13.2" x14ac:dyDescent="0.25">
      <c r="A410" s="17"/>
      <c r="B410" s="17"/>
      <c r="D410" s="18"/>
      <c r="E410" s="18"/>
      <c r="F410" s="18"/>
      <c r="G410" s="18"/>
      <c r="H410" s="58"/>
      <c r="I410" s="21"/>
      <c r="J410" s="22"/>
    </row>
    <row r="411" spans="1:10" ht="13.2" x14ac:dyDescent="0.25">
      <c r="A411" s="17"/>
      <c r="B411" s="17"/>
      <c r="D411" s="18"/>
      <c r="E411" s="18"/>
      <c r="F411" s="18"/>
      <c r="G411" s="18"/>
      <c r="H411" s="58"/>
      <c r="I411" s="21"/>
      <c r="J411" s="22"/>
    </row>
    <row r="412" spans="1:10" ht="13.2" x14ac:dyDescent="0.25">
      <c r="A412" s="17"/>
      <c r="B412" s="17"/>
      <c r="D412" s="18"/>
      <c r="E412" s="18"/>
      <c r="F412" s="18"/>
      <c r="G412" s="18"/>
      <c r="H412" s="58"/>
      <c r="I412" s="21"/>
      <c r="J412" s="22"/>
    </row>
    <row r="413" spans="1:10" ht="13.2" x14ac:dyDescent="0.25">
      <c r="A413" s="17"/>
      <c r="B413" s="17"/>
      <c r="D413" s="18"/>
      <c r="E413" s="18"/>
      <c r="F413" s="18"/>
      <c r="G413" s="18"/>
      <c r="H413" s="58"/>
      <c r="I413" s="21"/>
      <c r="J413" s="22"/>
    </row>
    <row r="414" spans="1:10" ht="13.2" x14ac:dyDescent="0.25">
      <c r="A414" s="17"/>
      <c r="B414" s="17"/>
      <c r="D414" s="18"/>
      <c r="E414" s="18"/>
      <c r="F414" s="18"/>
      <c r="G414" s="18"/>
      <c r="H414" s="58"/>
      <c r="I414" s="21"/>
      <c r="J414" s="22"/>
    </row>
    <row r="415" spans="1:10" ht="13.2" x14ac:dyDescent="0.25">
      <c r="A415" s="17"/>
      <c r="B415" s="17"/>
      <c r="D415" s="18"/>
      <c r="E415" s="18"/>
      <c r="F415" s="18"/>
      <c r="G415" s="18"/>
      <c r="H415" s="58"/>
      <c r="I415" s="21"/>
      <c r="J415" s="22"/>
    </row>
    <row r="416" spans="1:10" ht="13.2" x14ac:dyDescent="0.25">
      <c r="A416" s="17"/>
      <c r="B416" s="17"/>
      <c r="D416" s="18"/>
      <c r="E416" s="18"/>
      <c r="F416" s="18"/>
      <c r="G416" s="18"/>
      <c r="H416" s="58"/>
      <c r="I416" s="21"/>
      <c r="J416" s="22"/>
    </row>
    <row r="417" spans="1:10" ht="13.2" x14ac:dyDescent="0.25">
      <c r="A417" s="17"/>
      <c r="B417" s="17"/>
      <c r="D417" s="18"/>
      <c r="E417" s="18"/>
      <c r="F417" s="18"/>
      <c r="G417" s="18"/>
      <c r="H417" s="58"/>
      <c r="I417" s="21"/>
      <c r="J417" s="22"/>
    </row>
    <row r="418" spans="1:10" ht="13.2" x14ac:dyDescent="0.25">
      <c r="A418" s="17"/>
      <c r="B418" s="17"/>
      <c r="D418" s="18"/>
      <c r="E418" s="18"/>
      <c r="F418" s="18"/>
      <c r="G418" s="18"/>
      <c r="H418" s="58"/>
      <c r="I418" s="21"/>
      <c r="J418" s="22"/>
    </row>
    <row r="419" spans="1:10" ht="13.2" x14ac:dyDescent="0.25">
      <c r="A419" s="17"/>
      <c r="B419" s="17"/>
      <c r="D419" s="18"/>
      <c r="E419" s="18"/>
      <c r="F419" s="18"/>
      <c r="G419" s="18"/>
      <c r="H419" s="58"/>
      <c r="I419" s="21"/>
      <c r="J419" s="22"/>
    </row>
    <row r="420" spans="1:10" ht="13.2" x14ac:dyDescent="0.25">
      <c r="A420" s="17"/>
      <c r="B420" s="17"/>
      <c r="D420" s="18"/>
      <c r="E420" s="18"/>
      <c r="F420" s="18"/>
      <c r="G420" s="18"/>
      <c r="H420" s="58"/>
      <c r="I420" s="21"/>
      <c r="J420" s="22"/>
    </row>
    <row r="421" spans="1:10" ht="13.2" x14ac:dyDescent="0.25">
      <c r="A421" s="17"/>
      <c r="B421" s="17"/>
      <c r="D421" s="18"/>
      <c r="E421" s="18"/>
      <c r="F421" s="18"/>
      <c r="G421" s="18"/>
      <c r="H421" s="58"/>
      <c r="I421" s="21"/>
      <c r="J421" s="22"/>
    </row>
    <row r="422" spans="1:10" ht="13.2" x14ac:dyDescent="0.25">
      <c r="A422" s="17"/>
      <c r="B422" s="17"/>
      <c r="D422" s="18"/>
      <c r="E422" s="18"/>
      <c r="F422" s="18"/>
      <c r="G422" s="18"/>
      <c r="H422" s="58"/>
      <c r="I422" s="21"/>
      <c r="J422" s="22"/>
    </row>
    <row r="423" spans="1:10" ht="13.2" x14ac:dyDescent="0.25">
      <c r="A423" s="17"/>
      <c r="B423" s="17"/>
      <c r="D423" s="18"/>
      <c r="E423" s="18"/>
      <c r="F423" s="18"/>
      <c r="G423" s="18"/>
      <c r="H423" s="58"/>
      <c r="I423" s="21"/>
      <c r="J423" s="22"/>
    </row>
    <row r="424" spans="1:10" ht="13.2" x14ac:dyDescent="0.25">
      <c r="A424" s="17"/>
      <c r="B424" s="17"/>
      <c r="D424" s="18"/>
      <c r="E424" s="18"/>
      <c r="F424" s="18"/>
      <c r="G424" s="18"/>
      <c r="H424" s="58"/>
      <c r="I424" s="21"/>
      <c r="J424" s="22"/>
    </row>
    <row r="425" spans="1:10" ht="13.2" x14ac:dyDescent="0.25">
      <c r="A425" s="17"/>
      <c r="B425" s="17"/>
      <c r="D425" s="18"/>
      <c r="E425" s="18"/>
      <c r="F425" s="18"/>
      <c r="G425" s="18"/>
      <c r="H425" s="58"/>
      <c r="I425" s="21"/>
      <c r="J425" s="22"/>
    </row>
    <row r="426" spans="1:10" ht="13.2" x14ac:dyDescent="0.25">
      <c r="A426" s="17"/>
      <c r="B426" s="17"/>
      <c r="D426" s="18"/>
      <c r="E426" s="18"/>
      <c r="F426" s="18"/>
      <c r="G426" s="18"/>
      <c r="H426" s="58"/>
      <c r="I426" s="21"/>
      <c r="J426" s="22"/>
    </row>
    <row r="427" spans="1:10" ht="13.2" x14ac:dyDescent="0.25">
      <c r="A427" s="17"/>
      <c r="B427" s="17"/>
      <c r="D427" s="18"/>
      <c r="E427" s="18"/>
      <c r="F427" s="18"/>
      <c r="G427" s="18"/>
      <c r="H427" s="58"/>
      <c r="I427" s="21"/>
      <c r="J427" s="22"/>
    </row>
    <row r="428" spans="1:10" ht="13.2" x14ac:dyDescent="0.25">
      <c r="A428" s="17"/>
      <c r="B428" s="17"/>
      <c r="D428" s="18"/>
      <c r="E428" s="18"/>
      <c r="F428" s="18"/>
      <c r="G428" s="18"/>
      <c r="H428" s="58"/>
      <c r="I428" s="21"/>
      <c r="J428" s="22"/>
    </row>
    <row r="429" spans="1:10" ht="13.2" x14ac:dyDescent="0.25">
      <c r="A429" s="17"/>
      <c r="B429" s="17"/>
      <c r="D429" s="18"/>
      <c r="E429" s="18"/>
      <c r="F429" s="18"/>
      <c r="G429" s="18"/>
      <c r="H429" s="58"/>
      <c r="I429" s="21"/>
      <c r="J429" s="22"/>
    </row>
    <row r="430" spans="1:10" ht="13.2" x14ac:dyDescent="0.25">
      <c r="A430" s="17"/>
      <c r="B430" s="17"/>
      <c r="D430" s="18"/>
      <c r="E430" s="18"/>
      <c r="F430" s="18"/>
      <c r="G430" s="18"/>
      <c r="H430" s="58"/>
      <c r="I430" s="21"/>
      <c r="J430" s="22"/>
    </row>
    <row r="431" spans="1:10" ht="13.2" x14ac:dyDescent="0.25">
      <c r="A431" s="17"/>
      <c r="B431" s="17"/>
      <c r="D431" s="18"/>
      <c r="E431" s="18"/>
      <c r="F431" s="18"/>
      <c r="G431" s="18"/>
      <c r="H431" s="58"/>
      <c r="I431" s="21"/>
      <c r="J431" s="22"/>
    </row>
    <row r="432" spans="1:10" ht="13.2" x14ac:dyDescent="0.25">
      <c r="A432" s="17"/>
      <c r="B432" s="17"/>
      <c r="D432" s="18"/>
      <c r="E432" s="18"/>
      <c r="F432" s="18"/>
      <c r="G432" s="18"/>
      <c r="H432" s="58"/>
      <c r="I432" s="21"/>
      <c r="J432" s="22"/>
    </row>
    <row r="433" spans="1:10" ht="13.2" x14ac:dyDescent="0.25">
      <c r="A433" s="17"/>
      <c r="B433" s="17"/>
      <c r="D433" s="18"/>
      <c r="E433" s="18"/>
      <c r="F433" s="18"/>
      <c r="G433" s="18"/>
      <c r="H433" s="58"/>
      <c r="I433" s="21"/>
      <c r="J433" s="22"/>
    </row>
    <row r="434" spans="1:10" ht="13.2" x14ac:dyDescent="0.25">
      <c r="A434" s="17"/>
      <c r="B434" s="17"/>
      <c r="D434" s="18"/>
      <c r="E434" s="18"/>
      <c r="F434" s="18"/>
      <c r="G434" s="18"/>
      <c r="H434" s="58"/>
      <c r="I434" s="21"/>
      <c r="J434" s="22"/>
    </row>
    <row r="435" spans="1:10" ht="13.2" x14ac:dyDescent="0.25">
      <c r="A435" s="17"/>
      <c r="B435" s="17"/>
      <c r="D435" s="18"/>
      <c r="E435" s="18"/>
      <c r="F435" s="18"/>
      <c r="G435" s="18"/>
      <c r="H435" s="58"/>
      <c r="I435" s="21"/>
      <c r="J435" s="22"/>
    </row>
    <row r="436" spans="1:10" ht="13.2" x14ac:dyDescent="0.25">
      <c r="A436" s="17"/>
      <c r="B436" s="17"/>
      <c r="D436" s="18"/>
      <c r="E436" s="18"/>
      <c r="F436" s="18"/>
      <c r="G436" s="18"/>
      <c r="H436" s="58"/>
      <c r="I436" s="21"/>
      <c r="J436" s="22"/>
    </row>
    <row r="437" spans="1:10" ht="13.2" x14ac:dyDescent="0.25">
      <c r="A437" s="17"/>
      <c r="B437" s="17"/>
      <c r="D437" s="18"/>
      <c r="E437" s="18"/>
      <c r="F437" s="18"/>
      <c r="G437" s="18"/>
      <c r="H437" s="58"/>
      <c r="I437" s="21"/>
      <c r="J437" s="22"/>
    </row>
    <row r="438" spans="1:10" ht="13.2" x14ac:dyDescent="0.25">
      <c r="A438" s="17"/>
      <c r="B438" s="17"/>
      <c r="D438" s="18"/>
      <c r="E438" s="18"/>
      <c r="F438" s="18"/>
      <c r="G438" s="18"/>
      <c r="H438" s="58"/>
      <c r="I438" s="21"/>
      <c r="J438" s="22"/>
    </row>
    <row r="439" spans="1:10" ht="13.2" x14ac:dyDescent="0.25">
      <c r="A439" s="17"/>
      <c r="B439" s="17"/>
      <c r="D439" s="18"/>
      <c r="E439" s="18"/>
      <c r="F439" s="18"/>
      <c r="G439" s="18"/>
      <c r="H439" s="58"/>
      <c r="I439" s="21"/>
      <c r="J439" s="22"/>
    </row>
    <row r="440" spans="1:10" ht="13.2" x14ac:dyDescent="0.25">
      <c r="A440" s="17"/>
      <c r="B440" s="17"/>
      <c r="D440" s="18"/>
      <c r="E440" s="18"/>
      <c r="F440" s="18"/>
      <c r="G440" s="18"/>
      <c r="H440" s="58"/>
      <c r="I440" s="21"/>
      <c r="J440" s="22"/>
    </row>
    <row r="441" spans="1:10" ht="13.2" x14ac:dyDescent="0.25">
      <c r="A441" s="17"/>
      <c r="B441" s="17"/>
      <c r="D441" s="18"/>
      <c r="E441" s="18"/>
      <c r="F441" s="18"/>
      <c r="G441" s="18"/>
      <c r="H441" s="58"/>
      <c r="I441" s="21"/>
      <c r="J441" s="22"/>
    </row>
    <row r="442" spans="1:10" ht="13.2" x14ac:dyDescent="0.25">
      <c r="A442" s="17"/>
      <c r="B442" s="17"/>
      <c r="D442" s="18"/>
      <c r="E442" s="18"/>
      <c r="F442" s="18"/>
      <c r="G442" s="18"/>
      <c r="H442" s="58"/>
      <c r="I442" s="21"/>
      <c r="J442" s="22"/>
    </row>
    <row r="443" spans="1:10" ht="13.2" x14ac:dyDescent="0.25">
      <c r="A443" s="17"/>
      <c r="B443" s="17"/>
      <c r="D443" s="18"/>
      <c r="E443" s="18"/>
      <c r="F443" s="18"/>
      <c r="G443" s="18"/>
      <c r="H443" s="58"/>
      <c r="I443" s="21"/>
      <c r="J443" s="22"/>
    </row>
    <row r="444" spans="1:10" ht="13.2" x14ac:dyDescent="0.25">
      <c r="A444" s="17"/>
      <c r="B444" s="17"/>
      <c r="D444" s="18"/>
      <c r="E444" s="18"/>
      <c r="F444" s="18"/>
      <c r="G444" s="18"/>
      <c r="H444" s="58"/>
      <c r="I444" s="21"/>
      <c r="J444" s="22"/>
    </row>
    <row r="445" spans="1:10" ht="13.2" x14ac:dyDescent="0.25">
      <c r="A445" s="17"/>
      <c r="B445" s="17"/>
      <c r="D445" s="18"/>
      <c r="E445" s="18"/>
      <c r="F445" s="18"/>
      <c r="G445" s="18"/>
      <c r="H445" s="58"/>
      <c r="I445" s="21"/>
      <c r="J445" s="22"/>
    </row>
    <row r="446" spans="1:10" ht="13.2" x14ac:dyDescent="0.25">
      <c r="A446" s="17"/>
      <c r="B446" s="17"/>
      <c r="D446" s="18"/>
      <c r="E446" s="18"/>
      <c r="F446" s="18"/>
      <c r="G446" s="18"/>
      <c r="H446" s="58"/>
      <c r="I446" s="21"/>
      <c r="J446" s="22"/>
    </row>
    <row r="447" spans="1:10" ht="13.2" x14ac:dyDescent="0.25">
      <c r="A447" s="17"/>
      <c r="B447" s="17"/>
      <c r="D447" s="18"/>
      <c r="E447" s="18"/>
      <c r="F447" s="18"/>
      <c r="G447" s="18"/>
      <c r="H447" s="58"/>
      <c r="I447" s="21"/>
      <c r="J447" s="22"/>
    </row>
    <row r="448" spans="1:10" ht="13.2" x14ac:dyDescent="0.25">
      <c r="A448" s="17"/>
      <c r="B448" s="17"/>
      <c r="D448" s="18"/>
      <c r="E448" s="18"/>
      <c r="F448" s="18"/>
      <c r="G448" s="18"/>
      <c r="H448" s="58"/>
      <c r="I448" s="21"/>
      <c r="J448" s="22"/>
    </row>
    <row r="449" spans="1:10" ht="13.2" x14ac:dyDescent="0.25">
      <c r="A449" s="17"/>
      <c r="B449" s="17"/>
      <c r="D449" s="18"/>
      <c r="E449" s="18"/>
      <c r="F449" s="18"/>
      <c r="G449" s="18"/>
      <c r="H449" s="58"/>
      <c r="I449" s="21"/>
      <c r="J449" s="22"/>
    </row>
    <row r="450" spans="1:10" ht="13.2" x14ac:dyDescent="0.25">
      <c r="A450" s="17"/>
      <c r="B450" s="17"/>
      <c r="D450" s="18"/>
      <c r="E450" s="18"/>
      <c r="F450" s="18"/>
      <c r="G450" s="18"/>
      <c r="H450" s="58"/>
      <c r="I450" s="21"/>
      <c r="J450" s="22"/>
    </row>
    <row r="451" spans="1:10" ht="13.2" x14ac:dyDescent="0.25">
      <c r="A451" s="17"/>
      <c r="B451" s="17"/>
      <c r="D451" s="18"/>
      <c r="E451" s="18"/>
      <c r="F451" s="18"/>
      <c r="G451" s="18"/>
      <c r="H451" s="58"/>
      <c r="I451" s="21"/>
      <c r="J451" s="22"/>
    </row>
    <row r="452" spans="1:10" ht="13.2" x14ac:dyDescent="0.25">
      <c r="A452" s="17"/>
      <c r="B452" s="17"/>
      <c r="D452" s="18"/>
      <c r="E452" s="18"/>
      <c r="F452" s="18"/>
      <c r="G452" s="18"/>
      <c r="H452" s="58"/>
      <c r="I452" s="21"/>
      <c r="J452" s="22"/>
    </row>
    <row r="453" spans="1:10" ht="13.2" x14ac:dyDescent="0.25">
      <c r="A453" s="17"/>
      <c r="B453" s="17"/>
      <c r="D453" s="18"/>
      <c r="E453" s="18"/>
      <c r="F453" s="18"/>
      <c r="G453" s="18"/>
      <c r="H453" s="58"/>
      <c r="I453" s="21"/>
      <c r="J453" s="22"/>
    </row>
    <row r="454" spans="1:10" ht="13.2" x14ac:dyDescent="0.25">
      <c r="A454" s="17"/>
      <c r="B454" s="17"/>
      <c r="D454" s="18"/>
      <c r="E454" s="18"/>
      <c r="F454" s="18"/>
      <c r="G454" s="18"/>
      <c r="H454" s="58"/>
      <c r="I454" s="21"/>
      <c r="J454" s="22"/>
    </row>
    <row r="455" spans="1:10" ht="13.2" x14ac:dyDescent="0.25">
      <c r="A455" s="17"/>
      <c r="B455" s="17"/>
      <c r="D455" s="18"/>
      <c r="E455" s="18"/>
      <c r="F455" s="18"/>
      <c r="G455" s="18"/>
      <c r="H455" s="58"/>
      <c r="I455" s="21"/>
      <c r="J455" s="22"/>
    </row>
    <row r="456" spans="1:10" ht="13.2" x14ac:dyDescent="0.25">
      <c r="A456" s="17"/>
      <c r="B456" s="17"/>
      <c r="D456" s="18"/>
      <c r="E456" s="18"/>
      <c r="F456" s="18"/>
      <c r="G456" s="18"/>
      <c r="H456" s="58"/>
      <c r="I456" s="21"/>
      <c r="J456" s="22"/>
    </row>
    <row r="457" spans="1:10" ht="13.2" x14ac:dyDescent="0.25">
      <c r="A457" s="17"/>
      <c r="B457" s="17"/>
      <c r="D457" s="18"/>
      <c r="E457" s="18"/>
      <c r="F457" s="18"/>
      <c r="G457" s="18"/>
      <c r="H457" s="58"/>
      <c r="I457" s="21"/>
      <c r="J457" s="22"/>
    </row>
    <row r="458" spans="1:10" ht="13.2" x14ac:dyDescent="0.25">
      <c r="A458" s="17"/>
      <c r="B458" s="17"/>
      <c r="D458" s="18"/>
      <c r="E458" s="18"/>
      <c r="F458" s="18"/>
      <c r="G458" s="18"/>
      <c r="H458" s="58"/>
      <c r="I458" s="21"/>
      <c r="J458" s="22"/>
    </row>
    <row r="459" spans="1:10" ht="13.2" x14ac:dyDescent="0.25">
      <c r="A459" s="17"/>
      <c r="B459" s="17"/>
      <c r="D459" s="18"/>
      <c r="E459" s="18"/>
      <c r="F459" s="18"/>
      <c r="G459" s="18"/>
      <c r="H459" s="58"/>
      <c r="I459" s="21"/>
      <c r="J459" s="22"/>
    </row>
    <row r="460" spans="1:10" ht="13.2" x14ac:dyDescent="0.25">
      <c r="A460" s="17"/>
      <c r="B460" s="17"/>
      <c r="D460" s="18"/>
      <c r="E460" s="18"/>
      <c r="F460" s="18"/>
      <c r="G460" s="18"/>
      <c r="H460" s="58"/>
      <c r="I460" s="21"/>
      <c r="J460" s="22"/>
    </row>
    <row r="461" spans="1:10" ht="13.2" x14ac:dyDescent="0.25">
      <c r="A461" s="17"/>
      <c r="B461" s="17"/>
      <c r="D461" s="18"/>
      <c r="E461" s="18"/>
      <c r="F461" s="18"/>
      <c r="G461" s="18"/>
      <c r="H461" s="58"/>
      <c r="I461" s="21"/>
      <c r="J461" s="22"/>
    </row>
    <row r="462" spans="1:10" ht="13.2" x14ac:dyDescent="0.25">
      <c r="A462" s="17"/>
      <c r="B462" s="17"/>
      <c r="D462" s="18"/>
      <c r="E462" s="18"/>
      <c r="F462" s="18"/>
      <c r="G462" s="18"/>
      <c r="H462" s="58"/>
      <c r="I462" s="21"/>
      <c r="J462" s="22"/>
    </row>
    <row r="463" spans="1:10" ht="13.2" x14ac:dyDescent="0.25">
      <c r="A463" s="17"/>
      <c r="B463" s="17"/>
      <c r="D463" s="18"/>
      <c r="E463" s="18"/>
      <c r="F463" s="18"/>
      <c r="G463" s="18"/>
      <c r="H463" s="58"/>
      <c r="I463" s="21"/>
      <c r="J463" s="22"/>
    </row>
    <row r="464" spans="1:10" ht="13.2" x14ac:dyDescent="0.25">
      <c r="A464" s="17"/>
      <c r="B464" s="17"/>
      <c r="D464" s="18"/>
      <c r="E464" s="18"/>
      <c r="F464" s="18"/>
      <c r="G464" s="18"/>
      <c r="H464" s="58"/>
      <c r="I464" s="21"/>
      <c r="J464" s="22"/>
    </row>
    <row r="465" spans="1:10" ht="13.2" x14ac:dyDescent="0.25">
      <c r="A465" s="17"/>
      <c r="B465" s="17"/>
      <c r="D465" s="18"/>
      <c r="E465" s="18"/>
      <c r="F465" s="18"/>
      <c r="G465" s="18"/>
      <c r="H465" s="58"/>
      <c r="I465" s="21"/>
      <c r="J465" s="22"/>
    </row>
    <row r="466" spans="1:10" ht="13.2" x14ac:dyDescent="0.25">
      <c r="A466" s="17"/>
      <c r="B466" s="17"/>
      <c r="D466" s="18"/>
      <c r="E466" s="18"/>
      <c r="F466" s="18"/>
      <c r="G466" s="18"/>
      <c r="H466" s="58"/>
      <c r="I466" s="21"/>
      <c r="J466" s="22"/>
    </row>
    <row r="467" spans="1:10" ht="13.2" x14ac:dyDescent="0.25">
      <c r="A467" s="17"/>
      <c r="B467" s="17"/>
      <c r="D467" s="18"/>
      <c r="E467" s="18"/>
      <c r="F467" s="18"/>
      <c r="G467" s="18"/>
      <c r="H467" s="58"/>
      <c r="I467" s="21"/>
      <c r="J467" s="22"/>
    </row>
    <row r="468" spans="1:10" ht="13.2" x14ac:dyDescent="0.25">
      <c r="A468" s="17"/>
      <c r="B468" s="17"/>
      <c r="D468" s="18"/>
      <c r="E468" s="18"/>
      <c r="F468" s="18"/>
      <c r="G468" s="18"/>
      <c r="H468" s="58"/>
      <c r="I468" s="21"/>
      <c r="J468" s="22"/>
    </row>
    <row r="469" spans="1:10" ht="13.2" x14ac:dyDescent="0.25">
      <c r="A469" s="17"/>
      <c r="B469" s="17"/>
      <c r="D469" s="18"/>
      <c r="E469" s="18"/>
      <c r="F469" s="18"/>
      <c r="G469" s="18"/>
      <c r="H469" s="58"/>
      <c r="I469" s="21"/>
      <c r="J469" s="22"/>
    </row>
    <row r="470" spans="1:10" ht="13.2" x14ac:dyDescent="0.25">
      <c r="A470" s="17"/>
      <c r="B470" s="17"/>
      <c r="D470" s="18"/>
      <c r="E470" s="18"/>
      <c r="F470" s="18"/>
      <c r="G470" s="18"/>
      <c r="H470" s="58"/>
      <c r="I470" s="21"/>
      <c r="J470" s="22"/>
    </row>
    <row r="471" spans="1:10" ht="13.2" x14ac:dyDescent="0.25">
      <c r="A471" s="17"/>
      <c r="B471" s="17"/>
      <c r="D471" s="18"/>
      <c r="E471" s="18"/>
      <c r="F471" s="18"/>
      <c r="G471" s="18"/>
      <c r="H471" s="58"/>
      <c r="I471" s="21"/>
      <c r="J471" s="22"/>
    </row>
    <row r="472" spans="1:10" ht="13.2" x14ac:dyDescent="0.25">
      <c r="A472" s="17"/>
      <c r="B472" s="17"/>
      <c r="D472" s="18"/>
      <c r="E472" s="18"/>
      <c r="F472" s="18"/>
      <c r="G472" s="18"/>
      <c r="H472" s="58"/>
      <c r="I472" s="21"/>
      <c r="J472" s="22"/>
    </row>
    <row r="473" spans="1:10" ht="13.2" x14ac:dyDescent="0.25">
      <c r="A473" s="17"/>
      <c r="B473" s="17"/>
      <c r="D473" s="18"/>
      <c r="E473" s="18"/>
      <c r="F473" s="18"/>
      <c r="G473" s="18"/>
      <c r="H473" s="58"/>
      <c r="I473" s="21"/>
      <c r="J473" s="22"/>
    </row>
    <row r="474" spans="1:10" ht="13.2" x14ac:dyDescent="0.25">
      <c r="A474" s="17"/>
      <c r="B474" s="17"/>
      <c r="D474" s="18"/>
      <c r="E474" s="18"/>
      <c r="F474" s="18"/>
      <c r="G474" s="18"/>
      <c r="H474" s="58"/>
      <c r="I474" s="21"/>
      <c r="J474" s="22"/>
    </row>
    <row r="475" spans="1:10" ht="13.2" x14ac:dyDescent="0.25">
      <c r="A475" s="17"/>
      <c r="B475" s="17"/>
      <c r="D475" s="18"/>
      <c r="E475" s="18"/>
      <c r="F475" s="18"/>
      <c r="G475" s="18"/>
      <c r="H475" s="58"/>
      <c r="I475" s="21"/>
      <c r="J475" s="22"/>
    </row>
    <row r="476" spans="1:10" ht="13.2" x14ac:dyDescent="0.25">
      <c r="A476" s="17"/>
      <c r="B476" s="17"/>
      <c r="D476" s="18"/>
      <c r="E476" s="18"/>
      <c r="F476" s="18"/>
      <c r="G476" s="18"/>
      <c r="H476" s="58"/>
      <c r="I476" s="21"/>
      <c r="J476" s="22"/>
    </row>
    <row r="477" spans="1:10" ht="13.2" x14ac:dyDescent="0.25">
      <c r="A477" s="17"/>
      <c r="B477" s="17"/>
      <c r="D477" s="18"/>
      <c r="E477" s="18"/>
      <c r="F477" s="18"/>
      <c r="G477" s="18"/>
      <c r="H477" s="58"/>
      <c r="I477" s="21"/>
      <c r="J477" s="22"/>
    </row>
    <row r="478" spans="1:10" ht="13.2" x14ac:dyDescent="0.25">
      <c r="A478" s="17"/>
      <c r="B478" s="17"/>
      <c r="D478" s="18"/>
      <c r="E478" s="18"/>
      <c r="F478" s="18"/>
      <c r="G478" s="18"/>
      <c r="H478" s="58"/>
      <c r="I478" s="21"/>
      <c r="J478" s="22"/>
    </row>
    <row r="479" spans="1:10" ht="13.2" x14ac:dyDescent="0.25">
      <c r="A479" s="17"/>
      <c r="B479" s="17"/>
      <c r="D479" s="18"/>
      <c r="E479" s="18"/>
      <c r="F479" s="18"/>
      <c r="G479" s="18"/>
      <c r="H479" s="58"/>
      <c r="I479" s="21"/>
      <c r="J479" s="22"/>
    </row>
    <row r="480" spans="1:10" ht="13.2" x14ac:dyDescent="0.25">
      <c r="A480" s="17"/>
      <c r="B480" s="17"/>
      <c r="D480" s="18"/>
      <c r="E480" s="18"/>
      <c r="F480" s="18"/>
      <c r="G480" s="18"/>
      <c r="H480" s="58"/>
      <c r="I480" s="21"/>
      <c r="J480" s="22"/>
    </row>
    <row r="481" spans="1:10" ht="13.2" x14ac:dyDescent="0.25">
      <c r="A481" s="17"/>
      <c r="B481" s="17"/>
      <c r="D481" s="18"/>
      <c r="E481" s="18"/>
      <c r="F481" s="18"/>
      <c r="G481" s="18"/>
      <c r="H481" s="58"/>
      <c r="I481" s="21"/>
      <c r="J481" s="22"/>
    </row>
    <row r="482" spans="1:10" ht="13.2" x14ac:dyDescent="0.25">
      <c r="A482" s="17"/>
      <c r="B482" s="17"/>
      <c r="D482" s="18"/>
      <c r="E482" s="18"/>
      <c r="F482" s="18"/>
      <c r="G482" s="18"/>
      <c r="H482" s="58"/>
      <c r="I482" s="21"/>
      <c r="J482" s="22"/>
    </row>
    <row r="483" spans="1:10" ht="13.2" x14ac:dyDescent="0.25">
      <c r="A483" s="17"/>
      <c r="B483" s="17"/>
      <c r="D483" s="18"/>
      <c r="E483" s="18"/>
      <c r="F483" s="18"/>
      <c r="G483" s="18"/>
      <c r="H483" s="58"/>
      <c r="I483" s="21"/>
      <c r="J483" s="22"/>
    </row>
    <row r="484" spans="1:10" ht="13.2" x14ac:dyDescent="0.25">
      <c r="A484" s="17"/>
      <c r="B484" s="17"/>
      <c r="D484" s="18"/>
      <c r="E484" s="18"/>
      <c r="F484" s="18"/>
      <c r="G484" s="18"/>
      <c r="H484" s="58"/>
      <c r="I484" s="21"/>
      <c r="J484" s="22"/>
    </row>
    <row r="485" spans="1:10" ht="13.2" x14ac:dyDescent="0.25">
      <c r="A485" s="17"/>
      <c r="B485" s="17"/>
      <c r="D485" s="18"/>
      <c r="E485" s="18"/>
      <c r="F485" s="18"/>
      <c r="G485" s="18"/>
      <c r="H485" s="58"/>
      <c r="I485" s="21"/>
      <c r="J485" s="22"/>
    </row>
    <row r="486" spans="1:10" ht="13.2" x14ac:dyDescent="0.25">
      <c r="A486" s="17"/>
      <c r="B486" s="17"/>
      <c r="D486" s="18"/>
      <c r="E486" s="18"/>
      <c r="F486" s="18"/>
      <c r="G486" s="18"/>
      <c r="H486" s="58"/>
      <c r="I486" s="21"/>
      <c r="J486" s="22"/>
    </row>
    <row r="487" spans="1:10" ht="13.2" x14ac:dyDescent="0.25">
      <c r="A487" s="17"/>
      <c r="B487" s="17"/>
      <c r="D487" s="18"/>
      <c r="E487" s="18"/>
      <c r="F487" s="18"/>
      <c r="G487" s="18"/>
      <c r="H487" s="58"/>
      <c r="I487" s="21"/>
      <c r="J487" s="22"/>
    </row>
    <row r="488" spans="1:10" ht="13.2" x14ac:dyDescent="0.25">
      <c r="A488" s="17"/>
      <c r="B488" s="17"/>
      <c r="D488" s="18"/>
      <c r="E488" s="18"/>
      <c r="F488" s="18"/>
      <c r="G488" s="18"/>
      <c r="H488" s="58"/>
      <c r="I488" s="21"/>
      <c r="J488" s="22"/>
    </row>
    <row r="489" spans="1:10" ht="13.2" x14ac:dyDescent="0.25">
      <c r="A489" s="17"/>
      <c r="B489" s="17"/>
      <c r="D489" s="18"/>
      <c r="E489" s="18"/>
      <c r="F489" s="18"/>
      <c r="G489" s="18"/>
      <c r="H489" s="58"/>
      <c r="I489" s="21"/>
      <c r="J489" s="22"/>
    </row>
    <row r="490" spans="1:10" ht="13.2" x14ac:dyDescent="0.25">
      <c r="A490" s="17"/>
      <c r="B490" s="17"/>
      <c r="D490" s="18"/>
      <c r="E490" s="18"/>
      <c r="F490" s="18"/>
      <c r="G490" s="18"/>
      <c r="H490" s="58"/>
      <c r="I490" s="21"/>
      <c r="J490" s="22"/>
    </row>
    <row r="491" spans="1:10" ht="13.2" x14ac:dyDescent="0.25">
      <c r="A491" s="17"/>
      <c r="B491" s="17"/>
      <c r="D491" s="18"/>
      <c r="E491" s="18"/>
      <c r="F491" s="18"/>
      <c r="G491" s="18"/>
      <c r="H491" s="58"/>
      <c r="I491" s="21"/>
      <c r="J491" s="22"/>
    </row>
    <row r="492" spans="1:10" ht="13.2" x14ac:dyDescent="0.25">
      <c r="A492" s="17"/>
      <c r="B492" s="17"/>
      <c r="D492" s="18"/>
      <c r="E492" s="18"/>
      <c r="F492" s="18"/>
      <c r="G492" s="18"/>
      <c r="H492" s="58"/>
      <c r="I492" s="21"/>
      <c r="J492" s="22"/>
    </row>
    <row r="493" spans="1:10" ht="13.2" x14ac:dyDescent="0.25">
      <c r="A493" s="17"/>
      <c r="B493" s="17"/>
      <c r="D493" s="18"/>
      <c r="E493" s="18"/>
      <c r="F493" s="18"/>
      <c r="G493" s="18"/>
      <c r="H493" s="58"/>
      <c r="I493" s="21"/>
      <c r="J493" s="22"/>
    </row>
    <row r="494" spans="1:10" ht="13.2" x14ac:dyDescent="0.25">
      <c r="A494" s="17"/>
      <c r="B494" s="17"/>
      <c r="D494" s="18"/>
      <c r="E494" s="18"/>
      <c r="F494" s="18"/>
      <c r="G494" s="18"/>
      <c r="H494" s="58"/>
      <c r="I494" s="21"/>
      <c r="J494" s="22"/>
    </row>
    <row r="495" spans="1:10" ht="13.2" x14ac:dyDescent="0.25">
      <c r="A495" s="17"/>
      <c r="B495" s="17"/>
      <c r="D495" s="18"/>
      <c r="E495" s="18"/>
      <c r="F495" s="18"/>
      <c r="G495" s="18"/>
      <c r="H495" s="58"/>
      <c r="I495" s="21"/>
      <c r="J495" s="22"/>
    </row>
    <row r="496" spans="1:10" ht="13.2" x14ac:dyDescent="0.25">
      <c r="A496" s="17"/>
      <c r="B496" s="17"/>
      <c r="D496" s="18"/>
      <c r="E496" s="18"/>
      <c r="F496" s="18"/>
      <c r="G496" s="18"/>
      <c r="H496" s="58"/>
      <c r="I496" s="21"/>
      <c r="J496" s="22"/>
    </row>
    <row r="497" spans="1:10" ht="13.2" x14ac:dyDescent="0.25">
      <c r="A497" s="17"/>
      <c r="B497" s="17"/>
      <c r="D497" s="18"/>
      <c r="E497" s="18"/>
      <c r="F497" s="18"/>
      <c r="G497" s="18"/>
      <c r="H497" s="58"/>
      <c r="I497" s="21"/>
      <c r="J497" s="22"/>
    </row>
    <row r="498" spans="1:10" ht="13.2" x14ac:dyDescent="0.25">
      <c r="A498" s="17"/>
      <c r="B498" s="17"/>
      <c r="D498" s="18"/>
      <c r="E498" s="18"/>
      <c r="F498" s="18"/>
      <c r="G498" s="18"/>
      <c r="H498" s="58"/>
      <c r="I498" s="21"/>
      <c r="J498" s="22"/>
    </row>
    <row r="499" spans="1:10" ht="13.2" x14ac:dyDescent="0.25">
      <c r="A499" s="17"/>
      <c r="B499" s="17"/>
      <c r="D499" s="18"/>
      <c r="E499" s="18"/>
      <c r="F499" s="18"/>
      <c r="G499" s="18"/>
      <c r="H499" s="58"/>
      <c r="I499" s="21"/>
      <c r="J499" s="22"/>
    </row>
    <row r="500" spans="1:10" ht="13.2" x14ac:dyDescent="0.25">
      <c r="A500" s="17"/>
      <c r="B500" s="17"/>
      <c r="D500" s="18"/>
      <c r="E500" s="18"/>
      <c r="F500" s="18"/>
      <c r="G500" s="18"/>
      <c r="H500" s="58"/>
      <c r="I500" s="21"/>
      <c r="J500" s="22"/>
    </row>
    <row r="501" spans="1:10" ht="13.2" x14ac:dyDescent="0.25">
      <c r="A501" s="17"/>
      <c r="B501" s="17"/>
      <c r="D501" s="18"/>
      <c r="E501" s="18"/>
      <c r="F501" s="18"/>
      <c r="G501" s="18"/>
      <c r="H501" s="58"/>
      <c r="I501" s="21"/>
      <c r="J501" s="22"/>
    </row>
    <row r="502" spans="1:10" ht="13.2" x14ac:dyDescent="0.25">
      <c r="A502" s="17"/>
      <c r="B502" s="17"/>
      <c r="D502" s="18"/>
      <c r="E502" s="18"/>
      <c r="F502" s="18"/>
      <c r="G502" s="18"/>
      <c r="H502" s="58"/>
      <c r="I502" s="21"/>
      <c r="J502" s="22"/>
    </row>
    <row r="503" spans="1:10" ht="13.2" x14ac:dyDescent="0.25">
      <c r="A503" s="17"/>
      <c r="B503" s="17"/>
      <c r="D503" s="18"/>
      <c r="E503" s="18"/>
      <c r="F503" s="18"/>
      <c r="G503" s="18"/>
      <c r="H503" s="58"/>
      <c r="I503" s="21"/>
      <c r="J503" s="22"/>
    </row>
    <row r="504" spans="1:10" ht="13.2" x14ac:dyDescent="0.25">
      <c r="A504" s="17"/>
      <c r="B504" s="17"/>
      <c r="D504" s="18"/>
      <c r="E504" s="18"/>
      <c r="F504" s="18"/>
      <c r="G504" s="18"/>
      <c r="H504" s="58"/>
      <c r="I504" s="21"/>
      <c r="J504" s="22"/>
    </row>
    <row r="505" spans="1:10" ht="13.2" x14ac:dyDescent="0.25">
      <c r="A505" s="17"/>
      <c r="B505" s="17"/>
      <c r="D505" s="18"/>
      <c r="E505" s="18"/>
      <c r="F505" s="18"/>
      <c r="G505" s="18"/>
      <c r="H505" s="58"/>
      <c r="I505" s="21"/>
      <c r="J505" s="22"/>
    </row>
    <row r="506" spans="1:10" ht="13.2" x14ac:dyDescent="0.25">
      <c r="A506" s="17"/>
      <c r="B506" s="17"/>
      <c r="D506" s="18"/>
      <c r="E506" s="18"/>
      <c r="F506" s="18"/>
      <c r="G506" s="18"/>
      <c r="H506" s="58"/>
      <c r="I506" s="21"/>
      <c r="J506" s="22"/>
    </row>
    <row r="507" spans="1:10" ht="13.2" x14ac:dyDescent="0.25">
      <c r="A507" s="17"/>
      <c r="B507" s="17"/>
      <c r="D507" s="18"/>
      <c r="E507" s="18"/>
      <c r="F507" s="18"/>
      <c r="G507" s="18"/>
      <c r="H507" s="58"/>
      <c r="I507" s="21"/>
      <c r="J507" s="22"/>
    </row>
    <row r="508" spans="1:10" ht="13.2" x14ac:dyDescent="0.25">
      <c r="A508" s="17"/>
      <c r="B508" s="17"/>
      <c r="D508" s="18"/>
      <c r="E508" s="18"/>
      <c r="F508" s="18"/>
      <c r="G508" s="18"/>
      <c r="H508" s="58"/>
      <c r="I508" s="21"/>
      <c r="J508" s="22"/>
    </row>
    <row r="509" spans="1:10" ht="13.2" x14ac:dyDescent="0.25">
      <c r="A509" s="17"/>
      <c r="B509" s="17"/>
      <c r="D509" s="18"/>
      <c r="E509" s="18"/>
      <c r="F509" s="18"/>
      <c r="G509" s="18"/>
      <c r="H509" s="58"/>
      <c r="I509" s="21"/>
      <c r="J509" s="22"/>
    </row>
    <row r="510" spans="1:10" ht="13.2" x14ac:dyDescent="0.25">
      <c r="A510" s="17"/>
      <c r="B510" s="17"/>
      <c r="D510" s="18"/>
      <c r="E510" s="18"/>
      <c r="F510" s="18"/>
      <c r="G510" s="18"/>
      <c r="H510" s="58"/>
      <c r="I510" s="21"/>
      <c r="J510" s="22"/>
    </row>
    <row r="511" spans="1:10" ht="13.2" x14ac:dyDescent="0.25">
      <c r="A511" s="17"/>
      <c r="B511" s="17"/>
      <c r="D511" s="18"/>
      <c r="E511" s="18"/>
      <c r="F511" s="18"/>
      <c r="G511" s="18"/>
      <c r="H511" s="58"/>
      <c r="I511" s="21"/>
      <c r="J511" s="22"/>
    </row>
    <row r="512" spans="1:10" ht="13.2" x14ac:dyDescent="0.25">
      <c r="A512" s="17"/>
      <c r="B512" s="17"/>
      <c r="D512" s="18"/>
      <c r="E512" s="18"/>
      <c r="F512" s="18"/>
      <c r="G512" s="18"/>
      <c r="H512" s="58"/>
      <c r="I512" s="21"/>
      <c r="J512" s="22"/>
    </row>
    <row r="513" spans="1:10" ht="13.2" x14ac:dyDescent="0.25">
      <c r="A513" s="17"/>
      <c r="B513" s="17"/>
      <c r="D513" s="18"/>
      <c r="E513" s="18"/>
      <c r="F513" s="18"/>
      <c r="G513" s="18"/>
      <c r="H513" s="58"/>
      <c r="I513" s="21"/>
      <c r="J513" s="22"/>
    </row>
    <row r="514" spans="1:10" ht="13.2" x14ac:dyDescent="0.25">
      <c r="A514" s="17"/>
      <c r="B514" s="17"/>
      <c r="D514" s="18"/>
      <c r="E514" s="18"/>
      <c r="F514" s="18"/>
      <c r="G514" s="18"/>
      <c r="H514" s="58"/>
      <c r="I514" s="21"/>
      <c r="J514" s="22"/>
    </row>
    <row r="515" spans="1:10" ht="13.2" x14ac:dyDescent="0.25">
      <c r="A515" s="17"/>
      <c r="B515" s="17"/>
      <c r="D515" s="18"/>
      <c r="E515" s="18"/>
      <c r="F515" s="18"/>
      <c r="G515" s="18"/>
      <c r="H515" s="58"/>
      <c r="I515" s="21"/>
      <c r="J515" s="22"/>
    </row>
    <row r="516" spans="1:10" ht="13.2" x14ac:dyDescent="0.25">
      <c r="A516" s="17"/>
      <c r="B516" s="17"/>
      <c r="D516" s="18"/>
      <c r="E516" s="18"/>
      <c r="F516" s="18"/>
      <c r="G516" s="18"/>
      <c r="H516" s="58"/>
      <c r="I516" s="21"/>
      <c r="J516" s="22"/>
    </row>
    <row r="517" spans="1:10" ht="13.2" x14ac:dyDescent="0.25">
      <c r="A517" s="17"/>
      <c r="B517" s="17"/>
      <c r="D517" s="18"/>
      <c r="E517" s="18"/>
      <c r="F517" s="18"/>
      <c r="G517" s="18"/>
      <c r="H517" s="58"/>
      <c r="I517" s="21"/>
      <c r="J517" s="22"/>
    </row>
    <row r="518" spans="1:10" ht="13.2" x14ac:dyDescent="0.25">
      <c r="A518" s="17"/>
      <c r="B518" s="17"/>
      <c r="D518" s="18"/>
      <c r="E518" s="18"/>
      <c r="F518" s="18"/>
      <c r="G518" s="18"/>
      <c r="H518" s="58"/>
      <c r="I518" s="21"/>
      <c r="J518" s="22"/>
    </row>
    <row r="519" spans="1:10" ht="13.2" x14ac:dyDescent="0.25">
      <c r="A519" s="17"/>
      <c r="B519" s="17"/>
      <c r="D519" s="18"/>
      <c r="E519" s="18"/>
      <c r="F519" s="18"/>
      <c r="G519" s="18"/>
      <c r="H519" s="58"/>
      <c r="I519" s="21"/>
      <c r="J519" s="22"/>
    </row>
    <row r="520" spans="1:10" ht="13.2" x14ac:dyDescent="0.25">
      <c r="A520" s="17"/>
      <c r="B520" s="17"/>
      <c r="D520" s="18"/>
      <c r="E520" s="18"/>
      <c r="F520" s="18"/>
      <c r="G520" s="18"/>
      <c r="H520" s="58"/>
      <c r="I520" s="21"/>
      <c r="J520" s="22"/>
    </row>
    <row r="521" spans="1:10" ht="13.2" x14ac:dyDescent="0.25">
      <c r="A521" s="17"/>
      <c r="B521" s="17"/>
      <c r="D521" s="18"/>
      <c r="E521" s="18"/>
      <c r="F521" s="18"/>
      <c r="G521" s="18"/>
      <c r="H521" s="58"/>
      <c r="I521" s="21"/>
      <c r="J521" s="22"/>
    </row>
    <row r="522" spans="1:10" ht="13.2" x14ac:dyDescent="0.25">
      <c r="A522" s="17"/>
      <c r="B522" s="17"/>
      <c r="D522" s="18"/>
      <c r="E522" s="18"/>
      <c r="F522" s="18"/>
      <c r="G522" s="18"/>
      <c r="H522" s="58"/>
      <c r="I522" s="21"/>
      <c r="J522" s="22"/>
    </row>
    <row r="523" spans="1:10" ht="13.2" x14ac:dyDescent="0.25">
      <c r="A523" s="17"/>
      <c r="B523" s="17"/>
      <c r="D523" s="18"/>
      <c r="E523" s="18"/>
      <c r="F523" s="18"/>
      <c r="G523" s="18"/>
      <c r="H523" s="58"/>
      <c r="I523" s="21"/>
      <c r="J523" s="22"/>
    </row>
    <row r="524" spans="1:10" ht="13.2" x14ac:dyDescent="0.25">
      <c r="A524" s="17"/>
      <c r="B524" s="17"/>
      <c r="D524" s="18"/>
      <c r="E524" s="18"/>
      <c r="F524" s="18"/>
      <c r="G524" s="18"/>
      <c r="H524" s="58"/>
      <c r="I524" s="21"/>
      <c r="J524" s="22"/>
    </row>
    <row r="525" spans="1:10" ht="13.2" x14ac:dyDescent="0.25">
      <c r="A525" s="17"/>
      <c r="B525" s="17"/>
      <c r="D525" s="18"/>
      <c r="E525" s="18"/>
      <c r="F525" s="18"/>
      <c r="G525" s="18"/>
      <c r="H525" s="58"/>
      <c r="I525" s="21"/>
      <c r="J525" s="22"/>
    </row>
    <row r="526" spans="1:10" ht="13.2" x14ac:dyDescent="0.25">
      <c r="A526" s="17"/>
      <c r="B526" s="17"/>
      <c r="D526" s="18"/>
      <c r="E526" s="18"/>
      <c r="F526" s="18"/>
      <c r="G526" s="18"/>
      <c r="H526" s="58"/>
      <c r="I526" s="21"/>
      <c r="J526" s="22"/>
    </row>
    <row r="527" spans="1:10" ht="13.2" x14ac:dyDescent="0.25">
      <c r="A527" s="17"/>
      <c r="B527" s="17"/>
      <c r="D527" s="18"/>
      <c r="E527" s="18"/>
      <c r="F527" s="18"/>
      <c r="G527" s="18"/>
      <c r="H527" s="58"/>
      <c r="I527" s="21"/>
      <c r="J527" s="22"/>
    </row>
    <row r="528" spans="1:10" ht="13.2" x14ac:dyDescent="0.25">
      <c r="A528" s="17"/>
      <c r="B528" s="17"/>
      <c r="D528" s="18"/>
      <c r="E528" s="18"/>
      <c r="F528" s="18"/>
      <c r="G528" s="18"/>
      <c r="H528" s="58"/>
      <c r="I528" s="21"/>
      <c r="J528" s="22"/>
    </row>
    <row r="529" spans="1:10" ht="13.2" x14ac:dyDescent="0.25">
      <c r="A529" s="17"/>
      <c r="B529" s="17"/>
      <c r="D529" s="18"/>
      <c r="E529" s="18"/>
      <c r="F529" s="18"/>
      <c r="G529" s="18"/>
      <c r="H529" s="58"/>
      <c r="I529" s="21"/>
      <c r="J529" s="22"/>
    </row>
    <row r="530" spans="1:10" ht="13.2" x14ac:dyDescent="0.25">
      <c r="A530" s="17"/>
      <c r="B530" s="17"/>
      <c r="D530" s="18"/>
      <c r="E530" s="18"/>
      <c r="F530" s="18"/>
      <c r="G530" s="18"/>
      <c r="H530" s="58"/>
      <c r="I530" s="21"/>
      <c r="J530" s="22"/>
    </row>
    <row r="531" spans="1:10" ht="13.2" x14ac:dyDescent="0.25">
      <c r="A531" s="17"/>
      <c r="B531" s="17"/>
      <c r="D531" s="18"/>
      <c r="E531" s="18"/>
      <c r="F531" s="18"/>
      <c r="G531" s="18"/>
      <c r="H531" s="58"/>
      <c r="I531" s="21"/>
      <c r="J531" s="22"/>
    </row>
    <row r="532" spans="1:10" ht="13.2" x14ac:dyDescent="0.25">
      <c r="A532" s="17"/>
      <c r="B532" s="17"/>
      <c r="D532" s="18"/>
      <c r="E532" s="18"/>
      <c r="F532" s="18"/>
      <c r="G532" s="18"/>
      <c r="H532" s="58"/>
      <c r="I532" s="21"/>
      <c r="J532" s="22"/>
    </row>
    <row r="533" spans="1:10" ht="13.2" x14ac:dyDescent="0.25">
      <c r="A533" s="17"/>
      <c r="B533" s="17"/>
      <c r="D533" s="18"/>
      <c r="E533" s="18"/>
      <c r="F533" s="18"/>
      <c r="G533" s="18"/>
      <c r="H533" s="58"/>
      <c r="I533" s="21"/>
      <c r="J533" s="22"/>
    </row>
    <row r="534" spans="1:10" ht="13.2" x14ac:dyDescent="0.25">
      <c r="A534" s="17"/>
      <c r="B534" s="17"/>
      <c r="D534" s="18"/>
      <c r="E534" s="18"/>
      <c r="F534" s="18"/>
      <c r="G534" s="18"/>
      <c r="H534" s="58"/>
      <c r="I534" s="21"/>
      <c r="J534" s="22"/>
    </row>
    <row r="535" spans="1:10" ht="13.2" x14ac:dyDescent="0.25">
      <c r="A535" s="17"/>
      <c r="B535" s="17"/>
      <c r="D535" s="18"/>
      <c r="E535" s="18"/>
      <c r="F535" s="18"/>
      <c r="G535" s="18"/>
      <c r="H535" s="58"/>
      <c r="I535" s="21"/>
      <c r="J535" s="22"/>
    </row>
    <row r="536" spans="1:10" ht="13.2" x14ac:dyDescent="0.25">
      <c r="A536" s="17"/>
      <c r="B536" s="17"/>
      <c r="D536" s="18"/>
      <c r="E536" s="18"/>
      <c r="F536" s="18"/>
      <c r="G536" s="18"/>
      <c r="H536" s="58"/>
      <c r="I536" s="21"/>
      <c r="J536" s="22"/>
    </row>
    <row r="537" spans="1:10" ht="13.2" x14ac:dyDescent="0.25">
      <c r="A537" s="17"/>
      <c r="B537" s="17"/>
      <c r="D537" s="18"/>
      <c r="E537" s="18"/>
      <c r="F537" s="18"/>
      <c r="G537" s="18"/>
      <c r="H537" s="58"/>
      <c r="I537" s="21"/>
      <c r="J537" s="22"/>
    </row>
    <row r="538" spans="1:10" ht="13.2" x14ac:dyDescent="0.25">
      <c r="A538" s="17"/>
      <c r="B538" s="17"/>
      <c r="D538" s="18"/>
      <c r="E538" s="18"/>
      <c r="F538" s="18"/>
      <c r="G538" s="18"/>
      <c r="H538" s="58"/>
      <c r="I538" s="21"/>
      <c r="J538" s="22"/>
    </row>
    <row r="539" spans="1:10" ht="13.2" x14ac:dyDescent="0.25">
      <c r="A539" s="17"/>
      <c r="B539" s="17"/>
      <c r="D539" s="18"/>
      <c r="E539" s="18"/>
      <c r="F539" s="18"/>
      <c r="G539" s="18"/>
      <c r="H539" s="58"/>
      <c r="I539" s="21"/>
      <c r="J539" s="22"/>
    </row>
    <row r="540" spans="1:10" ht="13.2" x14ac:dyDescent="0.25">
      <c r="A540" s="17"/>
      <c r="B540" s="17"/>
      <c r="D540" s="18"/>
      <c r="E540" s="18"/>
      <c r="F540" s="18"/>
      <c r="G540" s="18"/>
      <c r="H540" s="58"/>
      <c r="I540" s="21"/>
      <c r="J540" s="22"/>
    </row>
    <row r="541" spans="1:10" ht="13.2" x14ac:dyDescent="0.25">
      <c r="A541" s="17"/>
      <c r="B541" s="17"/>
      <c r="D541" s="18"/>
      <c r="E541" s="18"/>
      <c r="F541" s="18"/>
      <c r="G541" s="18"/>
      <c r="H541" s="58"/>
      <c r="I541" s="21"/>
      <c r="J541" s="22"/>
    </row>
    <row r="542" spans="1:10" ht="13.2" x14ac:dyDescent="0.25">
      <c r="A542" s="17"/>
      <c r="B542" s="17"/>
      <c r="D542" s="18"/>
      <c r="E542" s="18"/>
      <c r="F542" s="18"/>
      <c r="G542" s="18"/>
      <c r="H542" s="58"/>
      <c r="I542" s="21"/>
      <c r="J542" s="22"/>
    </row>
    <row r="543" spans="1:10" ht="13.2" x14ac:dyDescent="0.25">
      <c r="A543" s="17"/>
      <c r="B543" s="17"/>
      <c r="D543" s="18"/>
      <c r="E543" s="18"/>
      <c r="F543" s="18"/>
      <c r="G543" s="18"/>
      <c r="H543" s="58"/>
      <c r="I543" s="21"/>
      <c r="J543" s="22"/>
    </row>
    <row r="544" spans="1:10" ht="13.2" x14ac:dyDescent="0.25">
      <c r="A544" s="17"/>
      <c r="B544" s="17"/>
      <c r="D544" s="18"/>
      <c r="E544" s="18"/>
      <c r="F544" s="18"/>
      <c r="G544" s="18"/>
      <c r="H544" s="58"/>
      <c r="I544" s="21"/>
      <c r="J544" s="22"/>
    </row>
    <row r="545" spans="1:10" ht="13.2" x14ac:dyDescent="0.25">
      <c r="A545" s="17"/>
      <c r="B545" s="17"/>
      <c r="D545" s="18"/>
      <c r="E545" s="18"/>
      <c r="F545" s="18"/>
      <c r="G545" s="18"/>
      <c r="H545" s="58"/>
      <c r="I545" s="21"/>
      <c r="J545" s="22"/>
    </row>
    <row r="546" spans="1:10" ht="13.2" x14ac:dyDescent="0.25">
      <c r="A546" s="17"/>
      <c r="B546" s="17"/>
      <c r="D546" s="18"/>
      <c r="E546" s="18"/>
      <c r="F546" s="18"/>
      <c r="G546" s="18"/>
      <c r="H546" s="58"/>
      <c r="I546" s="21"/>
      <c r="J546" s="22"/>
    </row>
    <row r="547" spans="1:10" ht="13.2" x14ac:dyDescent="0.25">
      <c r="A547" s="17"/>
      <c r="B547" s="17"/>
      <c r="D547" s="18"/>
      <c r="E547" s="18"/>
      <c r="F547" s="18"/>
      <c r="G547" s="18"/>
      <c r="H547" s="58"/>
      <c r="I547" s="21"/>
      <c r="J547" s="22"/>
    </row>
    <row r="548" spans="1:10" ht="13.2" x14ac:dyDescent="0.25">
      <c r="A548" s="17"/>
      <c r="B548" s="17"/>
      <c r="D548" s="18"/>
      <c r="E548" s="18"/>
      <c r="F548" s="18"/>
      <c r="G548" s="18"/>
      <c r="H548" s="58"/>
      <c r="I548" s="21"/>
      <c r="J548" s="22"/>
    </row>
    <row r="549" spans="1:10" ht="13.2" x14ac:dyDescent="0.25">
      <c r="A549" s="17"/>
      <c r="B549" s="17"/>
      <c r="D549" s="18"/>
      <c r="E549" s="18"/>
      <c r="F549" s="18"/>
      <c r="G549" s="18"/>
      <c r="H549" s="58"/>
      <c r="I549" s="21"/>
      <c r="J549" s="22"/>
    </row>
    <row r="550" spans="1:10" ht="13.2" x14ac:dyDescent="0.25">
      <c r="A550" s="17"/>
      <c r="B550" s="17"/>
      <c r="D550" s="18"/>
      <c r="E550" s="18"/>
      <c r="F550" s="18"/>
      <c r="G550" s="18"/>
      <c r="H550" s="58"/>
      <c r="I550" s="21"/>
      <c r="J550" s="22"/>
    </row>
    <row r="551" spans="1:10" ht="13.2" x14ac:dyDescent="0.25">
      <c r="A551" s="17"/>
      <c r="B551" s="17"/>
      <c r="D551" s="18"/>
      <c r="E551" s="18"/>
      <c r="F551" s="18"/>
      <c r="G551" s="18"/>
      <c r="H551" s="58"/>
      <c r="I551" s="21"/>
      <c r="J551" s="22"/>
    </row>
    <row r="552" spans="1:10" ht="13.2" x14ac:dyDescent="0.25">
      <c r="A552" s="17"/>
      <c r="B552" s="17"/>
      <c r="D552" s="18"/>
      <c r="E552" s="18"/>
      <c r="F552" s="18"/>
      <c r="G552" s="18"/>
      <c r="H552" s="58"/>
      <c r="I552" s="21"/>
      <c r="J552" s="22"/>
    </row>
    <row r="553" spans="1:10" ht="13.2" x14ac:dyDescent="0.25">
      <c r="A553" s="17"/>
      <c r="B553" s="17"/>
      <c r="D553" s="18"/>
      <c r="E553" s="18"/>
      <c r="F553" s="18"/>
      <c r="G553" s="18"/>
      <c r="H553" s="58"/>
      <c r="I553" s="21"/>
      <c r="J553" s="22"/>
    </row>
    <row r="554" spans="1:10" ht="13.2" x14ac:dyDescent="0.25">
      <c r="A554" s="17"/>
      <c r="B554" s="17"/>
      <c r="D554" s="18"/>
      <c r="E554" s="18"/>
      <c r="F554" s="18"/>
      <c r="G554" s="18"/>
      <c r="H554" s="58"/>
      <c r="I554" s="21"/>
      <c r="J554" s="22"/>
    </row>
    <row r="555" spans="1:10" ht="13.2" x14ac:dyDescent="0.25">
      <c r="A555" s="17"/>
      <c r="B555" s="17"/>
      <c r="D555" s="18"/>
      <c r="E555" s="18"/>
      <c r="F555" s="18"/>
      <c r="G555" s="18"/>
      <c r="H555" s="58"/>
      <c r="I555" s="21"/>
      <c r="J555" s="22"/>
    </row>
    <row r="556" spans="1:10" ht="13.2" x14ac:dyDescent="0.25">
      <c r="A556" s="17"/>
      <c r="B556" s="17"/>
      <c r="D556" s="18"/>
      <c r="E556" s="18"/>
      <c r="F556" s="18"/>
      <c r="G556" s="18"/>
      <c r="H556" s="58"/>
      <c r="I556" s="21"/>
      <c r="J556" s="22"/>
    </row>
    <row r="557" spans="1:10" ht="13.2" x14ac:dyDescent="0.25">
      <c r="A557" s="17"/>
      <c r="B557" s="17"/>
      <c r="D557" s="18"/>
      <c r="E557" s="18"/>
      <c r="F557" s="18"/>
      <c r="G557" s="18"/>
      <c r="H557" s="58"/>
      <c r="I557" s="21"/>
      <c r="J557" s="22"/>
    </row>
    <row r="558" spans="1:10" ht="13.2" x14ac:dyDescent="0.25">
      <c r="A558" s="17"/>
      <c r="B558" s="17"/>
      <c r="D558" s="18"/>
      <c r="E558" s="18"/>
      <c r="F558" s="18"/>
      <c r="G558" s="18"/>
      <c r="H558" s="58"/>
      <c r="I558" s="21"/>
      <c r="J558" s="22"/>
    </row>
    <row r="559" spans="1:10" ht="13.2" x14ac:dyDescent="0.25">
      <c r="A559" s="17"/>
      <c r="B559" s="17"/>
      <c r="D559" s="18"/>
      <c r="E559" s="18"/>
      <c r="F559" s="18"/>
      <c r="G559" s="18"/>
      <c r="H559" s="58"/>
      <c r="I559" s="21"/>
      <c r="J559" s="22"/>
    </row>
    <row r="560" spans="1:10" ht="13.2" x14ac:dyDescent="0.25">
      <c r="A560" s="17"/>
      <c r="B560" s="17"/>
      <c r="D560" s="18"/>
      <c r="E560" s="18"/>
      <c r="F560" s="18"/>
      <c r="G560" s="18"/>
      <c r="H560" s="58"/>
      <c r="I560" s="21"/>
      <c r="J560" s="22"/>
    </row>
    <row r="561" spans="1:10" ht="13.2" x14ac:dyDescent="0.25">
      <c r="A561" s="17"/>
      <c r="B561" s="17"/>
      <c r="D561" s="18"/>
      <c r="E561" s="18"/>
      <c r="F561" s="18"/>
      <c r="G561" s="18"/>
      <c r="H561" s="58"/>
      <c r="I561" s="21"/>
      <c r="J561" s="22"/>
    </row>
    <row r="562" spans="1:10" ht="13.2" x14ac:dyDescent="0.25">
      <c r="A562" s="17"/>
      <c r="B562" s="17"/>
      <c r="D562" s="18"/>
      <c r="E562" s="18"/>
      <c r="F562" s="18"/>
      <c r="G562" s="18"/>
      <c r="H562" s="58"/>
      <c r="I562" s="21"/>
      <c r="J562" s="22"/>
    </row>
    <row r="563" spans="1:10" ht="13.2" x14ac:dyDescent="0.25">
      <c r="A563" s="17"/>
      <c r="B563" s="17"/>
      <c r="D563" s="18"/>
      <c r="E563" s="18"/>
      <c r="F563" s="18"/>
      <c r="G563" s="18"/>
      <c r="H563" s="58"/>
      <c r="I563" s="21"/>
      <c r="J563" s="22"/>
    </row>
    <row r="564" spans="1:10" ht="13.2" x14ac:dyDescent="0.25">
      <c r="A564" s="17"/>
      <c r="B564" s="17"/>
      <c r="D564" s="18"/>
      <c r="E564" s="18"/>
      <c r="F564" s="18"/>
      <c r="G564" s="18"/>
      <c r="H564" s="58"/>
      <c r="I564" s="21"/>
      <c r="J564" s="22"/>
    </row>
    <row r="565" spans="1:10" ht="13.2" x14ac:dyDescent="0.25">
      <c r="A565" s="17"/>
      <c r="B565" s="17"/>
      <c r="D565" s="18"/>
      <c r="E565" s="18"/>
      <c r="F565" s="18"/>
      <c r="G565" s="18"/>
      <c r="H565" s="58"/>
      <c r="I565" s="21"/>
      <c r="J565" s="22"/>
    </row>
    <row r="566" spans="1:10" ht="13.2" x14ac:dyDescent="0.25">
      <c r="A566" s="17"/>
      <c r="B566" s="17"/>
      <c r="D566" s="18"/>
      <c r="E566" s="18"/>
      <c r="F566" s="18"/>
      <c r="G566" s="18"/>
      <c r="H566" s="58"/>
      <c r="I566" s="21"/>
      <c r="J566" s="22"/>
    </row>
    <row r="567" spans="1:10" ht="13.2" x14ac:dyDescent="0.25">
      <c r="A567" s="17"/>
      <c r="B567" s="17"/>
      <c r="D567" s="18"/>
      <c r="E567" s="18"/>
      <c r="F567" s="18"/>
      <c r="G567" s="18"/>
      <c r="H567" s="58"/>
      <c r="I567" s="21"/>
      <c r="J567" s="22"/>
    </row>
    <row r="568" spans="1:10" ht="13.2" x14ac:dyDescent="0.25">
      <c r="A568" s="17"/>
      <c r="B568" s="17"/>
      <c r="D568" s="18"/>
      <c r="E568" s="18"/>
      <c r="F568" s="18"/>
      <c r="G568" s="18"/>
      <c r="H568" s="58"/>
      <c r="I568" s="21"/>
      <c r="J568" s="22"/>
    </row>
    <row r="569" spans="1:10" ht="13.2" x14ac:dyDescent="0.25">
      <c r="A569" s="17"/>
      <c r="B569" s="17"/>
      <c r="D569" s="18"/>
      <c r="E569" s="18"/>
      <c r="F569" s="18"/>
      <c r="G569" s="18"/>
      <c r="H569" s="58"/>
      <c r="I569" s="21"/>
      <c r="J569" s="22"/>
    </row>
    <row r="570" spans="1:10" ht="13.2" x14ac:dyDescent="0.25">
      <c r="A570" s="17"/>
      <c r="B570" s="17"/>
      <c r="D570" s="18"/>
      <c r="E570" s="18"/>
      <c r="F570" s="18"/>
      <c r="G570" s="18"/>
      <c r="H570" s="58"/>
      <c r="I570" s="21"/>
      <c r="J570" s="22"/>
    </row>
    <row r="571" spans="1:10" ht="13.2" x14ac:dyDescent="0.25">
      <c r="A571" s="17"/>
      <c r="B571" s="17"/>
      <c r="D571" s="18"/>
      <c r="E571" s="18"/>
      <c r="F571" s="18"/>
      <c r="G571" s="18"/>
      <c r="H571" s="58"/>
      <c r="I571" s="21"/>
      <c r="J571" s="22"/>
    </row>
    <row r="572" spans="1:10" ht="13.2" x14ac:dyDescent="0.25">
      <c r="A572" s="17"/>
      <c r="B572" s="17"/>
      <c r="D572" s="18"/>
      <c r="E572" s="18"/>
      <c r="F572" s="18"/>
      <c r="G572" s="18"/>
      <c r="H572" s="58"/>
      <c r="I572" s="21"/>
      <c r="J572" s="22"/>
    </row>
    <row r="573" spans="1:10" ht="13.2" x14ac:dyDescent="0.25">
      <c r="A573" s="17"/>
      <c r="B573" s="17"/>
      <c r="D573" s="18"/>
      <c r="E573" s="18"/>
      <c r="F573" s="18"/>
      <c r="G573" s="18"/>
      <c r="H573" s="58"/>
      <c r="I573" s="21"/>
      <c r="J573" s="22"/>
    </row>
    <row r="574" spans="1:10" ht="13.2" x14ac:dyDescent="0.25">
      <c r="A574" s="17"/>
      <c r="B574" s="17"/>
      <c r="D574" s="18"/>
      <c r="E574" s="18"/>
      <c r="F574" s="18"/>
      <c r="G574" s="18"/>
      <c r="H574" s="58"/>
      <c r="I574" s="21"/>
      <c r="J574" s="22"/>
    </row>
    <row r="575" spans="1:10" ht="13.2" x14ac:dyDescent="0.25">
      <c r="A575" s="17"/>
      <c r="B575" s="17"/>
      <c r="D575" s="18"/>
      <c r="E575" s="18"/>
      <c r="F575" s="18"/>
      <c r="G575" s="18"/>
      <c r="H575" s="58"/>
      <c r="I575" s="21"/>
      <c r="J575" s="22"/>
    </row>
    <row r="576" spans="1:10" ht="13.2" x14ac:dyDescent="0.25">
      <c r="A576" s="17"/>
      <c r="B576" s="17"/>
      <c r="D576" s="18"/>
      <c r="E576" s="18"/>
      <c r="F576" s="18"/>
      <c r="G576" s="18"/>
      <c r="H576" s="58"/>
      <c r="I576" s="21"/>
      <c r="J576" s="22"/>
    </row>
    <row r="577" spans="1:10" ht="13.2" x14ac:dyDescent="0.25">
      <c r="A577" s="17"/>
      <c r="B577" s="17"/>
      <c r="D577" s="18"/>
      <c r="E577" s="18"/>
      <c r="F577" s="18"/>
      <c r="G577" s="18"/>
      <c r="H577" s="58"/>
      <c r="I577" s="21"/>
      <c r="J577" s="22"/>
    </row>
    <row r="578" spans="1:10" ht="13.2" x14ac:dyDescent="0.25">
      <c r="A578" s="17"/>
      <c r="B578" s="17"/>
      <c r="D578" s="18"/>
      <c r="E578" s="18"/>
      <c r="F578" s="18"/>
      <c r="G578" s="18"/>
      <c r="H578" s="58"/>
      <c r="I578" s="21"/>
      <c r="J578" s="22"/>
    </row>
    <row r="579" spans="1:10" ht="13.2" x14ac:dyDescent="0.25">
      <c r="A579" s="17"/>
      <c r="B579" s="17"/>
      <c r="D579" s="18"/>
      <c r="E579" s="18"/>
      <c r="F579" s="18"/>
      <c r="G579" s="18"/>
      <c r="H579" s="58"/>
      <c r="I579" s="21"/>
      <c r="J579" s="22"/>
    </row>
    <row r="580" spans="1:10" ht="13.2" x14ac:dyDescent="0.25">
      <c r="A580" s="17"/>
      <c r="B580" s="17"/>
      <c r="D580" s="18"/>
      <c r="E580" s="18"/>
      <c r="F580" s="18"/>
      <c r="G580" s="18"/>
      <c r="H580" s="58"/>
      <c r="I580" s="21"/>
      <c r="J580" s="22"/>
    </row>
    <row r="581" spans="1:10" ht="13.2" x14ac:dyDescent="0.25">
      <c r="A581" s="17"/>
      <c r="B581" s="17"/>
      <c r="D581" s="18"/>
      <c r="E581" s="18"/>
      <c r="F581" s="18"/>
      <c r="G581" s="18"/>
      <c r="H581" s="58"/>
      <c r="I581" s="21"/>
      <c r="J581" s="22"/>
    </row>
    <row r="582" spans="1:10" ht="13.2" x14ac:dyDescent="0.25">
      <c r="A582" s="17"/>
      <c r="B582" s="17"/>
      <c r="D582" s="18"/>
      <c r="E582" s="18"/>
      <c r="F582" s="18"/>
      <c r="G582" s="18"/>
      <c r="H582" s="58"/>
      <c r="I582" s="21"/>
      <c r="J582" s="22"/>
    </row>
    <row r="583" spans="1:10" ht="13.2" x14ac:dyDescent="0.25">
      <c r="A583" s="17"/>
      <c r="B583" s="17"/>
      <c r="D583" s="18"/>
      <c r="E583" s="18"/>
      <c r="F583" s="18"/>
      <c r="G583" s="18"/>
      <c r="H583" s="58"/>
      <c r="I583" s="21"/>
      <c r="J583" s="22"/>
    </row>
    <row r="584" spans="1:10" ht="13.2" x14ac:dyDescent="0.25">
      <c r="A584" s="17"/>
      <c r="B584" s="17"/>
      <c r="D584" s="18"/>
      <c r="E584" s="18"/>
      <c r="F584" s="18"/>
      <c r="G584" s="18"/>
      <c r="H584" s="58"/>
      <c r="I584" s="21"/>
      <c r="J584" s="22"/>
    </row>
    <row r="585" spans="1:10" ht="13.2" x14ac:dyDescent="0.25">
      <c r="A585" s="17"/>
      <c r="B585" s="17"/>
      <c r="D585" s="18"/>
      <c r="E585" s="18"/>
      <c r="F585" s="18"/>
      <c r="G585" s="18"/>
      <c r="H585" s="58"/>
      <c r="I585" s="21"/>
      <c r="J585" s="22"/>
    </row>
    <row r="586" spans="1:10" ht="13.2" x14ac:dyDescent="0.25">
      <c r="A586" s="17"/>
      <c r="B586" s="17"/>
      <c r="D586" s="18"/>
      <c r="E586" s="18"/>
      <c r="F586" s="18"/>
      <c r="G586" s="18"/>
      <c r="H586" s="58"/>
      <c r="I586" s="21"/>
      <c r="J586" s="22"/>
    </row>
    <row r="587" spans="1:10" ht="13.2" x14ac:dyDescent="0.25">
      <c r="A587" s="17"/>
      <c r="B587" s="17"/>
      <c r="D587" s="18"/>
      <c r="E587" s="18"/>
      <c r="F587" s="18"/>
      <c r="G587" s="18"/>
      <c r="H587" s="58"/>
      <c r="I587" s="21"/>
      <c r="J587" s="22"/>
    </row>
    <row r="588" spans="1:10" ht="13.2" x14ac:dyDescent="0.25">
      <c r="A588" s="17"/>
      <c r="B588" s="17"/>
      <c r="D588" s="18"/>
      <c r="E588" s="18"/>
      <c r="F588" s="18"/>
      <c r="G588" s="18"/>
      <c r="H588" s="58"/>
      <c r="I588" s="21"/>
      <c r="J588" s="22"/>
    </row>
    <row r="589" spans="1:10" ht="13.2" x14ac:dyDescent="0.25">
      <c r="A589" s="17"/>
      <c r="B589" s="17"/>
      <c r="D589" s="18"/>
      <c r="E589" s="18"/>
      <c r="F589" s="18"/>
      <c r="G589" s="18"/>
      <c r="H589" s="58"/>
      <c r="I589" s="21"/>
      <c r="J589" s="22"/>
    </row>
    <row r="590" spans="1:10" ht="13.2" x14ac:dyDescent="0.25">
      <c r="A590" s="17"/>
      <c r="B590" s="17"/>
      <c r="D590" s="18"/>
      <c r="E590" s="18"/>
      <c r="F590" s="18"/>
      <c r="G590" s="18"/>
      <c r="H590" s="58"/>
      <c r="I590" s="21"/>
      <c r="J590" s="22"/>
    </row>
    <row r="591" spans="1:10" ht="13.2" x14ac:dyDescent="0.25">
      <c r="A591" s="17"/>
      <c r="B591" s="17"/>
      <c r="D591" s="18"/>
      <c r="E591" s="18"/>
      <c r="F591" s="18"/>
      <c r="G591" s="18"/>
      <c r="H591" s="58"/>
      <c r="I591" s="21"/>
      <c r="J591" s="22"/>
    </row>
    <row r="592" spans="1:10" ht="13.2" x14ac:dyDescent="0.25">
      <c r="A592" s="17"/>
      <c r="B592" s="17"/>
      <c r="D592" s="18"/>
      <c r="E592" s="18"/>
      <c r="F592" s="18"/>
      <c r="G592" s="18"/>
      <c r="H592" s="58"/>
      <c r="I592" s="21"/>
      <c r="J592" s="22"/>
    </row>
    <row r="593" spans="1:10" ht="13.2" x14ac:dyDescent="0.25">
      <c r="A593" s="17"/>
      <c r="B593" s="17"/>
      <c r="D593" s="18"/>
      <c r="E593" s="18"/>
      <c r="F593" s="18"/>
      <c r="G593" s="18"/>
      <c r="H593" s="58"/>
      <c r="I593" s="21"/>
      <c r="J593" s="22"/>
    </row>
    <row r="594" spans="1:10" ht="13.2" x14ac:dyDescent="0.25">
      <c r="A594" s="17"/>
      <c r="B594" s="17"/>
      <c r="D594" s="18"/>
      <c r="E594" s="18"/>
      <c r="F594" s="18"/>
      <c r="G594" s="18"/>
      <c r="H594" s="58"/>
      <c r="I594" s="21"/>
      <c r="J594" s="22"/>
    </row>
    <row r="595" spans="1:10" ht="13.2" x14ac:dyDescent="0.25">
      <c r="A595" s="17"/>
      <c r="B595" s="17"/>
      <c r="D595" s="18"/>
      <c r="E595" s="18"/>
      <c r="F595" s="18"/>
      <c r="G595" s="18"/>
      <c r="H595" s="58"/>
      <c r="I595" s="21"/>
      <c r="J595" s="22"/>
    </row>
    <row r="596" spans="1:10" ht="13.2" x14ac:dyDescent="0.25">
      <c r="A596" s="17"/>
      <c r="B596" s="17"/>
      <c r="D596" s="18"/>
      <c r="E596" s="18"/>
      <c r="F596" s="18"/>
      <c r="G596" s="18"/>
      <c r="H596" s="58"/>
      <c r="I596" s="21"/>
      <c r="J596" s="22"/>
    </row>
    <row r="597" spans="1:10" ht="13.2" x14ac:dyDescent="0.25">
      <c r="A597" s="17"/>
      <c r="B597" s="17"/>
      <c r="D597" s="18"/>
      <c r="E597" s="18"/>
      <c r="F597" s="18"/>
      <c r="G597" s="18"/>
      <c r="H597" s="58"/>
      <c r="I597" s="21"/>
      <c r="J597" s="22"/>
    </row>
    <row r="598" spans="1:10" ht="13.2" x14ac:dyDescent="0.25">
      <c r="A598" s="17"/>
      <c r="B598" s="17"/>
      <c r="D598" s="18"/>
      <c r="E598" s="18"/>
      <c r="F598" s="18"/>
      <c r="G598" s="18"/>
      <c r="H598" s="58"/>
      <c r="I598" s="21"/>
      <c r="J598" s="22"/>
    </row>
    <row r="599" spans="1:10" ht="13.2" x14ac:dyDescent="0.25">
      <c r="A599" s="17"/>
      <c r="B599" s="17"/>
      <c r="D599" s="18"/>
      <c r="E599" s="18"/>
      <c r="F599" s="18"/>
      <c r="G599" s="18"/>
      <c r="H599" s="58"/>
      <c r="I599" s="21"/>
      <c r="J599" s="22"/>
    </row>
    <row r="600" spans="1:10" ht="13.2" x14ac:dyDescent="0.25">
      <c r="A600" s="17"/>
      <c r="B600" s="17"/>
      <c r="D600" s="18"/>
      <c r="E600" s="18"/>
      <c r="F600" s="18"/>
      <c r="G600" s="18"/>
      <c r="H600" s="58"/>
      <c r="I600" s="21"/>
      <c r="J600" s="22"/>
    </row>
    <row r="601" spans="1:10" ht="13.2" x14ac:dyDescent="0.25">
      <c r="A601" s="17"/>
      <c r="B601" s="17"/>
      <c r="D601" s="18"/>
      <c r="E601" s="18"/>
      <c r="F601" s="18"/>
      <c r="G601" s="18"/>
      <c r="H601" s="58"/>
      <c r="I601" s="21"/>
      <c r="J601" s="22"/>
    </row>
    <row r="602" spans="1:10" ht="13.2" x14ac:dyDescent="0.25">
      <c r="A602" s="17"/>
      <c r="B602" s="17"/>
      <c r="D602" s="18"/>
      <c r="E602" s="18"/>
      <c r="F602" s="18"/>
      <c r="G602" s="18"/>
      <c r="H602" s="58"/>
      <c r="I602" s="21"/>
      <c r="J602" s="22"/>
    </row>
    <row r="603" spans="1:10" ht="13.2" x14ac:dyDescent="0.25">
      <c r="A603" s="17"/>
      <c r="B603" s="17"/>
      <c r="D603" s="18"/>
      <c r="E603" s="18"/>
      <c r="F603" s="18"/>
      <c r="G603" s="18"/>
      <c r="H603" s="58"/>
      <c r="I603" s="21"/>
      <c r="J603" s="22"/>
    </row>
    <row r="604" spans="1:10" ht="13.2" x14ac:dyDescent="0.25">
      <c r="A604" s="17"/>
      <c r="B604" s="17"/>
      <c r="D604" s="18"/>
      <c r="E604" s="18"/>
      <c r="F604" s="18"/>
      <c r="G604" s="18"/>
      <c r="H604" s="58"/>
      <c r="I604" s="21"/>
      <c r="J604" s="22"/>
    </row>
    <row r="605" spans="1:10" ht="13.2" x14ac:dyDescent="0.25">
      <c r="A605" s="17"/>
      <c r="B605" s="17"/>
      <c r="D605" s="18"/>
      <c r="E605" s="18"/>
      <c r="F605" s="18"/>
      <c r="G605" s="18"/>
      <c r="H605" s="58"/>
      <c r="I605" s="21"/>
      <c r="J605" s="22"/>
    </row>
    <row r="606" spans="1:10" ht="13.2" x14ac:dyDescent="0.25">
      <c r="A606" s="17"/>
      <c r="B606" s="17"/>
      <c r="D606" s="18"/>
      <c r="E606" s="18"/>
      <c r="F606" s="18"/>
      <c r="G606" s="18"/>
      <c r="H606" s="58"/>
      <c r="I606" s="21"/>
      <c r="J606" s="22"/>
    </row>
    <row r="607" spans="1:10" ht="13.2" x14ac:dyDescent="0.25">
      <c r="A607" s="17"/>
      <c r="B607" s="17"/>
      <c r="D607" s="18"/>
      <c r="E607" s="18"/>
      <c r="F607" s="18"/>
      <c r="G607" s="18"/>
      <c r="H607" s="58"/>
      <c r="I607" s="21"/>
      <c r="J607" s="22"/>
    </row>
    <row r="608" spans="1:10" ht="13.2" x14ac:dyDescent="0.25">
      <c r="A608" s="17"/>
      <c r="B608" s="17"/>
      <c r="D608" s="18"/>
      <c r="E608" s="18"/>
      <c r="F608" s="18"/>
      <c r="G608" s="18"/>
      <c r="H608" s="58"/>
      <c r="I608" s="21"/>
      <c r="J608" s="22"/>
    </row>
    <row r="609" spans="1:10" ht="13.2" x14ac:dyDescent="0.25">
      <c r="A609" s="17"/>
      <c r="B609" s="17"/>
      <c r="D609" s="18"/>
      <c r="E609" s="18"/>
      <c r="F609" s="18"/>
      <c r="G609" s="18"/>
      <c r="H609" s="58"/>
      <c r="I609" s="21"/>
      <c r="J609" s="22"/>
    </row>
    <row r="610" spans="1:10" ht="13.2" x14ac:dyDescent="0.25">
      <c r="A610" s="17"/>
      <c r="B610" s="17"/>
      <c r="D610" s="18"/>
      <c r="E610" s="18"/>
      <c r="F610" s="18"/>
      <c r="G610" s="18"/>
      <c r="H610" s="58"/>
      <c r="I610" s="21"/>
      <c r="J610" s="22"/>
    </row>
    <row r="611" spans="1:10" ht="13.2" x14ac:dyDescent="0.25">
      <c r="A611" s="17"/>
      <c r="B611" s="17"/>
      <c r="D611" s="18"/>
      <c r="E611" s="18"/>
      <c r="F611" s="18"/>
      <c r="G611" s="18"/>
      <c r="H611" s="58"/>
      <c r="I611" s="21"/>
      <c r="J611" s="22"/>
    </row>
    <row r="612" spans="1:10" ht="13.2" x14ac:dyDescent="0.25">
      <c r="A612" s="17"/>
      <c r="B612" s="17"/>
      <c r="D612" s="18"/>
      <c r="E612" s="18"/>
      <c r="F612" s="18"/>
      <c r="G612" s="18"/>
      <c r="H612" s="58"/>
      <c r="I612" s="21"/>
      <c r="J612" s="22"/>
    </row>
    <row r="613" spans="1:10" ht="13.2" x14ac:dyDescent="0.25">
      <c r="A613" s="17"/>
      <c r="B613" s="17"/>
      <c r="D613" s="18"/>
      <c r="E613" s="18"/>
      <c r="F613" s="18"/>
      <c r="G613" s="18"/>
      <c r="H613" s="58"/>
      <c r="I613" s="21"/>
      <c r="J613" s="22"/>
    </row>
    <row r="614" spans="1:10" ht="13.2" x14ac:dyDescent="0.25">
      <c r="A614" s="17"/>
      <c r="B614" s="17"/>
      <c r="D614" s="18"/>
      <c r="E614" s="18"/>
      <c r="F614" s="18"/>
      <c r="G614" s="18"/>
      <c r="H614" s="58"/>
      <c r="I614" s="21"/>
      <c r="J614" s="22"/>
    </row>
    <row r="615" spans="1:10" ht="13.2" x14ac:dyDescent="0.25">
      <c r="A615" s="17"/>
      <c r="B615" s="17"/>
      <c r="D615" s="18"/>
      <c r="E615" s="18"/>
      <c r="F615" s="18"/>
      <c r="G615" s="18"/>
      <c r="H615" s="58"/>
      <c r="I615" s="21"/>
      <c r="J615" s="22"/>
    </row>
    <row r="616" spans="1:10" ht="13.2" x14ac:dyDescent="0.25">
      <c r="A616" s="17"/>
      <c r="B616" s="17"/>
      <c r="D616" s="18"/>
      <c r="E616" s="18"/>
      <c r="F616" s="18"/>
      <c r="G616" s="18"/>
      <c r="H616" s="58"/>
      <c r="I616" s="21"/>
      <c r="J616" s="22"/>
    </row>
    <row r="617" spans="1:10" ht="13.2" x14ac:dyDescent="0.25">
      <c r="A617" s="17"/>
      <c r="B617" s="17"/>
      <c r="D617" s="18"/>
      <c r="E617" s="18"/>
      <c r="F617" s="18"/>
      <c r="G617" s="18"/>
      <c r="H617" s="58"/>
      <c r="I617" s="21"/>
      <c r="J617" s="22"/>
    </row>
    <row r="618" spans="1:10" ht="13.2" x14ac:dyDescent="0.25">
      <c r="A618" s="17"/>
      <c r="B618" s="17"/>
      <c r="D618" s="18"/>
      <c r="E618" s="18"/>
      <c r="F618" s="18"/>
      <c r="G618" s="18"/>
      <c r="H618" s="58"/>
      <c r="I618" s="21"/>
      <c r="J618" s="22"/>
    </row>
    <row r="619" spans="1:10" ht="13.2" x14ac:dyDescent="0.25">
      <c r="A619" s="17"/>
      <c r="B619" s="17"/>
      <c r="D619" s="18"/>
      <c r="E619" s="18"/>
      <c r="F619" s="18"/>
      <c r="G619" s="18"/>
      <c r="H619" s="58"/>
      <c r="I619" s="21"/>
      <c r="J619" s="22"/>
    </row>
    <row r="620" spans="1:10" ht="13.2" x14ac:dyDescent="0.25">
      <c r="A620" s="17"/>
      <c r="B620" s="17"/>
      <c r="D620" s="18"/>
      <c r="E620" s="18"/>
      <c r="F620" s="18"/>
      <c r="G620" s="18"/>
      <c r="H620" s="58"/>
      <c r="I620" s="21"/>
      <c r="J620" s="22"/>
    </row>
    <row r="621" spans="1:10" ht="13.2" x14ac:dyDescent="0.25">
      <c r="A621" s="17"/>
      <c r="B621" s="17"/>
      <c r="D621" s="18"/>
      <c r="E621" s="18"/>
      <c r="F621" s="18"/>
      <c r="G621" s="18"/>
      <c r="H621" s="58"/>
      <c r="I621" s="21"/>
      <c r="J621" s="22"/>
    </row>
    <row r="622" spans="1:10" ht="13.2" x14ac:dyDescent="0.25">
      <c r="A622" s="17"/>
      <c r="B622" s="17"/>
      <c r="D622" s="18"/>
      <c r="E622" s="18"/>
      <c r="F622" s="18"/>
      <c r="G622" s="18"/>
      <c r="H622" s="58"/>
      <c r="I622" s="21"/>
      <c r="J622" s="22"/>
    </row>
    <row r="623" spans="1:10" ht="13.2" x14ac:dyDescent="0.25">
      <c r="A623" s="17"/>
      <c r="B623" s="17"/>
      <c r="D623" s="18"/>
      <c r="E623" s="18"/>
      <c r="F623" s="18"/>
      <c r="G623" s="18"/>
      <c r="H623" s="58"/>
      <c r="I623" s="21"/>
      <c r="J623" s="22"/>
    </row>
    <row r="624" spans="1:10" ht="13.2" x14ac:dyDescent="0.25">
      <c r="A624" s="17"/>
      <c r="B624" s="17"/>
      <c r="D624" s="18"/>
      <c r="E624" s="18"/>
      <c r="F624" s="18"/>
      <c r="G624" s="18"/>
      <c r="H624" s="58"/>
      <c r="I624" s="21"/>
      <c r="J624" s="22"/>
    </row>
    <row r="625" spans="1:10" ht="13.2" x14ac:dyDescent="0.25">
      <c r="A625" s="17"/>
      <c r="B625" s="17"/>
      <c r="D625" s="18"/>
      <c r="E625" s="18"/>
      <c r="F625" s="18"/>
      <c r="G625" s="18"/>
      <c r="H625" s="58"/>
      <c r="I625" s="21"/>
      <c r="J625" s="22"/>
    </row>
    <row r="626" spans="1:10" ht="13.2" x14ac:dyDescent="0.25">
      <c r="A626" s="17"/>
      <c r="B626" s="17"/>
      <c r="D626" s="18"/>
      <c r="E626" s="18"/>
      <c r="F626" s="18"/>
      <c r="G626" s="18"/>
      <c r="H626" s="58"/>
      <c r="I626" s="21"/>
      <c r="J626" s="22"/>
    </row>
    <row r="627" spans="1:10" ht="13.2" x14ac:dyDescent="0.25">
      <c r="A627" s="17"/>
      <c r="B627" s="17"/>
      <c r="D627" s="18"/>
      <c r="E627" s="18"/>
      <c r="F627" s="18"/>
      <c r="G627" s="18"/>
      <c r="H627" s="58"/>
      <c r="I627" s="21"/>
      <c r="J627" s="22"/>
    </row>
    <row r="628" spans="1:10" ht="13.2" x14ac:dyDescent="0.25">
      <c r="A628" s="17"/>
      <c r="B628" s="17"/>
      <c r="D628" s="18"/>
      <c r="E628" s="18"/>
      <c r="F628" s="18"/>
      <c r="G628" s="18"/>
      <c r="H628" s="58"/>
      <c r="I628" s="21"/>
      <c r="J628" s="22"/>
    </row>
    <row r="629" spans="1:10" ht="13.2" x14ac:dyDescent="0.25">
      <c r="A629" s="17"/>
      <c r="B629" s="17"/>
      <c r="D629" s="18"/>
      <c r="E629" s="18"/>
      <c r="F629" s="18"/>
      <c r="G629" s="18"/>
      <c r="H629" s="58"/>
      <c r="I629" s="21"/>
      <c r="J629" s="22"/>
    </row>
    <row r="630" spans="1:10" ht="13.2" x14ac:dyDescent="0.25">
      <c r="A630" s="17"/>
      <c r="B630" s="17"/>
      <c r="D630" s="18"/>
      <c r="E630" s="18"/>
      <c r="F630" s="18"/>
      <c r="G630" s="18"/>
      <c r="H630" s="58"/>
      <c r="I630" s="21"/>
      <c r="J630" s="22"/>
    </row>
    <row r="631" spans="1:10" ht="13.2" x14ac:dyDescent="0.25">
      <c r="A631" s="17"/>
      <c r="B631" s="17"/>
      <c r="D631" s="18"/>
      <c r="E631" s="18"/>
      <c r="F631" s="18"/>
      <c r="G631" s="18"/>
      <c r="H631" s="58"/>
      <c r="I631" s="21"/>
      <c r="J631" s="22"/>
    </row>
    <row r="632" spans="1:10" ht="13.2" x14ac:dyDescent="0.25">
      <c r="A632" s="17"/>
      <c r="B632" s="17"/>
      <c r="D632" s="18"/>
      <c r="E632" s="18"/>
      <c r="F632" s="18"/>
      <c r="G632" s="18"/>
      <c r="H632" s="58"/>
      <c r="I632" s="21"/>
      <c r="J632" s="22"/>
    </row>
    <row r="633" spans="1:10" ht="13.2" x14ac:dyDescent="0.25">
      <c r="A633" s="17"/>
      <c r="B633" s="17"/>
      <c r="D633" s="18"/>
      <c r="E633" s="18"/>
      <c r="F633" s="18"/>
      <c r="G633" s="18"/>
      <c r="H633" s="58"/>
      <c r="I633" s="21"/>
      <c r="J633" s="22"/>
    </row>
    <row r="634" spans="1:10" ht="13.2" x14ac:dyDescent="0.25">
      <c r="A634" s="17"/>
      <c r="B634" s="17"/>
      <c r="D634" s="18"/>
      <c r="E634" s="18"/>
      <c r="F634" s="18"/>
      <c r="G634" s="18"/>
      <c r="H634" s="58"/>
      <c r="I634" s="21"/>
      <c r="J634" s="22"/>
    </row>
    <row r="635" spans="1:10" ht="13.2" x14ac:dyDescent="0.25">
      <c r="A635" s="17"/>
      <c r="B635" s="17"/>
      <c r="D635" s="18"/>
      <c r="E635" s="18"/>
      <c r="F635" s="18"/>
      <c r="G635" s="18"/>
      <c r="H635" s="58"/>
      <c r="I635" s="21"/>
      <c r="J635" s="22"/>
    </row>
    <row r="636" spans="1:10" ht="13.2" x14ac:dyDescent="0.25">
      <c r="A636" s="17"/>
      <c r="B636" s="17"/>
      <c r="D636" s="18"/>
      <c r="E636" s="18"/>
      <c r="F636" s="18"/>
      <c r="G636" s="18"/>
      <c r="H636" s="58"/>
      <c r="I636" s="21"/>
      <c r="J636" s="22"/>
    </row>
    <row r="637" spans="1:10" ht="13.2" x14ac:dyDescent="0.25">
      <c r="A637" s="17"/>
      <c r="B637" s="17"/>
      <c r="D637" s="18"/>
      <c r="E637" s="18"/>
      <c r="F637" s="18"/>
      <c r="G637" s="18"/>
      <c r="H637" s="58"/>
      <c r="I637" s="21"/>
      <c r="J637" s="22"/>
    </row>
    <row r="638" spans="1:10" ht="13.2" x14ac:dyDescent="0.25">
      <c r="A638" s="17"/>
      <c r="B638" s="17"/>
      <c r="D638" s="18"/>
      <c r="E638" s="18"/>
      <c r="F638" s="18"/>
      <c r="G638" s="18"/>
      <c r="H638" s="58"/>
      <c r="I638" s="21"/>
      <c r="J638" s="22"/>
    </row>
    <row r="639" spans="1:10" ht="13.2" x14ac:dyDescent="0.25">
      <c r="A639" s="17"/>
      <c r="B639" s="17"/>
      <c r="D639" s="18"/>
      <c r="E639" s="18"/>
      <c r="F639" s="18"/>
      <c r="G639" s="18"/>
      <c r="H639" s="58"/>
      <c r="I639" s="21"/>
      <c r="J639" s="22"/>
    </row>
    <row r="640" spans="1:10" ht="13.2" x14ac:dyDescent="0.25">
      <c r="A640" s="17"/>
      <c r="B640" s="17"/>
      <c r="D640" s="18"/>
      <c r="E640" s="18"/>
      <c r="F640" s="18"/>
      <c r="G640" s="18"/>
      <c r="H640" s="58"/>
      <c r="I640" s="21"/>
      <c r="J640" s="22"/>
    </row>
    <row r="641" spans="1:10" ht="13.2" x14ac:dyDescent="0.25">
      <c r="A641" s="17"/>
      <c r="B641" s="17"/>
      <c r="D641" s="18"/>
      <c r="E641" s="18"/>
      <c r="F641" s="18"/>
      <c r="G641" s="18"/>
      <c r="H641" s="58"/>
      <c r="I641" s="21"/>
      <c r="J641" s="22"/>
    </row>
    <row r="642" spans="1:10" ht="13.2" x14ac:dyDescent="0.25">
      <c r="A642" s="17"/>
      <c r="B642" s="17"/>
      <c r="D642" s="18"/>
      <c r="E642" s="18"/>
      <c r="F642" s="18"/>
      <c r="G642" s="18"/>
      <c r="H642" s="58"/>
      <c r="I642" s="21"/>
      <c r="J642" s="22"/>
    </row>
    <row r="643" spans="1:10" ht="13.2" x14ac:dyDescent="0.25">
      <c r="A643" s="17"/>
      <c r="B643" s="17"/>
      <c r="D643" s="18"/>
      <c r="E643" s="18"/>
      <c r="F643" s="18"/>
      <c r="G643" s="18"/>
      <c r="H643" s="58"/>
      <c r="I643" s="21"/>
      <c r="J643" s="22"/>
    </row>
    <row r="644" spans="1:10" ht="13.2" x14ac:dyDescent="0.25">
      <c r="A644" s="17"/>
      <c r="B644" s="17"/>
      <c r="D644" s="18"/>
      <c r="E644" s="18"/>
      <c r="F644" s="18"/>
      <c r="G644" s="18"/>
      <c r="H644" s="58"/>
      <c r="I644" s="21"/>
      <c r="J644" s="22"/>
    </row>
    <row r="645" spans="1:10" ht="13.2" x14ac:dyDescent="0.25">
      <c r="A645" s="17"/>
      <c r="B645" s="17"/>
      <c r="D645" s="18"/>
      <c r="E645" s="18"/>
      <c r="F645" s="18"/>
      <c r="G645" s="18"/>
      <c r="H645" s="58"/>
      <c r="I645" s="21"/>
      <c r="J645" s="22"/>
    </row>
    <row r="646" spans="1:10" ht="13.2" x14ac:dyDescent="0.25">
      <c r="A646" s="17"/>
      <c r="B646" s="17"/>
      <c r="D646" s="18"/>
      <c r="E646" s="18"/>
      <c r="F646" s="18"/>
      <c r="G646" s="18"/>
      <c r="H646" s="58"/>
      <c r="I646" s="21"/>
      <c r="J646" s="22"/>
    </row>
    <row r="647" spans="1:10" ht="13.2" x14ac:dyDescent="0.25">
      <c r="A647" s="17"/>
      <c r="B647" s="17"/>
      <c r="D647" s="18"/>
      <c r="E647" s="18"/>
      <c r="F647" s="18"/>
      <c r="G647" s="18"/>
      <c r="H647" s="58"/>
      <c r="I647" s="21"/>
      <c r="J647" s="22"/>
    </row>
    <row r="648" spans="1:10" ht="13.2" x14ac:dyDescent="0.25">
      <c r="A648" s="17"/>
      <c r="B648" s="17"/>
      <c r="D648" s="18"/>
      <c r="E648" s="18"/>
      <c r="F648" s="18"/>
      <c r="G648" s="18"/>
      <c r="H648" s="58"/>
      <c r="I648" s="21"/>
      <c r="J648" s="22"/>
    </row>
    <row r="649" spans="1:10" ht="13.2" x14ac:dyDescent="0.25">
      <c r="A649" s="17"/>
      <c r="B649" s="17"/>
      <c r="D649" s="18"/>
      <c r="E649" s="18"/>
      <c r="F649" s="18"/>
      <c r="G649" s="18"/>
      <c r="H649" s="58"/>
      <c r="I649" s="21"/>
      <c r="J649" s="22"/>
    </row>
    <row r="650" spans="1:10" ht="13.2" x14ac:dyDescent="0.25">
      <c r="A650" s="17"/>
      <c r="B650" s="17"/>
      <c r="D650" s="18"/>
      <c r="E650" s="18"/>
      <c r="F650" s="18"/>
      <c r="G650" s="18"/>
      <c r="H650" s="58"/>
      <c r="I650" s="21"/>
      <c r="J650" s="22"/>
    </row>
    <row r="651" spans="1:10" ht="13.2" x14ac:dyDescent="0.25">
      <c r="A651" s="17"/>
      <c r="B651" s="17"/>
      <c r="D651" s="18"/>
      <c r="E651" s="18"/>
      <c r="F651" s="18"/>
      <c r="G651" s="18"/>
      <c r="H651" s="58"/>
      <c r="I651" s="21"/>
      <c r="J651" s="22"/>
    </row>
    <row r="652" spans="1:10" ht="13.2" x14ac:dyDescent="0.25">
      <c r="A652" s="17"/>
      <c r="B652" s="17"/>
      <c r="D652" s="18"/>
      <c r="E652" s="18"/>
      <c r="F652" s="18"/>
      <c r="G652" s="18"/>
      <c r="H652" s="58"/>
      <c r="I652" s="21"/>
      <c r="J652" s="22"/>
    </row>
    <row r="653" spans="1:10" ht="13.2" x14ac:dyDescent="0.25">
      <c r="A653" s="17"/>
      <c r="B653" s="17"/>
      <c r="D653" s="18"/>
      <c r="E653" s="18"/>
      <c r="F653" s="18"/>
      <c r="G653" s="18"/>
      <c r="H653" s="58"/>
      <c r="I653" s="21"/>
      <c r="J653" s="22"/>
    </row>
    <row r="654" spans="1:10" ht="13.2" x14ac:dyDescent="0.25">
      <c r="A654" s="17"/>
      <c r="B654" s="17"/>
      <c r="D654" s="18"/>
      <c r="E654" s="18"/>
      <c r="F654" s="18"/>
      <c r="G654" s="18"/>
      <c r="H654" s="58"/>
      <c r="I654" s="21"/>
      <c r="J654" s="22"/>
    </row>
    <row r="655" spans="1:10" ht="13.2" x14ac:dyDescent="0.25">
      <c r="A655" s="17"/>
      <c r="B655" s="17"/>
      <c r="D655" s="18"/>
      <c r="E655" s="18"/>
      <c r="F655" s="18"/>
      <c r="G655" s="18"/>
      <c r="H655" s="58"/>
      <c r="I655" s="21"/>
      <c r="J655" s="22"/>
    </row>
    <row r="656" spans="1:10" ht="13.2" x14ac:dyDescent="0.25">
      <c r="A656" s="17"/>
      <c r="B656" s="17"/>
      <c r="D656" s="18"/>
      <c r="E656" s="18"/>
      <c r="F656" s="18"/>
      <c r="G656" s="18"/>
      <c r="H656" s="58"/>
      <c r="I656" s="21"/>
      <c r="J656" s="22"/>
    </row>
    <row r="657" spans="1:10" ht="13.2" x14ac:dyDescent="0.25">
      <c r="A657" s="17"/>
      <c r="B657" s="17"/>
      <c r="D657" s="18"/>
      <c r="E657" s="18"/>
      <c r="F657" s="18"/>
      <c r="G657" s="18"/>
      <c r="H657" s="58"/>
      <c r="I657" s="21"/>
      <c r="J657" s="22"/>
    </row>
    <row r="658" spans="1:10" ht="13.2" x14ac:dyDescent="0.25">
      <c r="A658" s="17"/>
      <c r="B658" s="17"/>
      <c r="D658" s="18"/>
      <c r="E658" s="18"/>
      <c r="F658" s="18"/>
      <c r="G658" s="18"/>
      <c r="H658" s="58"/>
      <c r="I658" s="21"/>
      <c r="J658" s="22"/>
    </row>
    <row r="659" spans="1:10" ht="13.2" x14ac:dyDescent="0.25">
      <c r="A659" s="17"/>
      <c r="B659" s="17"/>
      <c r="D659" s="18"/>
      <c r="E659" s="18"/>
      <c r="F659" s="18"/>
      <c r="G659" s="18"/>
      <c r="H659" s="58"/>
      <c r="I659" s="21"/>
      <c r="J659" s="22"/>
    </row>
    <row r="660" spans="1:10" ht="13.2" x14ac:dyDescent="0.25">
      <c r="A660" s="17"/>
      <c r="B660" s="17"/>
      <c r="D660" s="18"/>
      <c r="E660" s="18"/>
      <c r="F660" s="18"/>
      <c r="G660" s="18"/>
      <c r="H660" s="58"/>
      <c r="I660" s="21"/>
      <c r="J660" s="22"/>
    </row>
    <row r="661" spans="1:10" ht="13.2" x14ac:dyDescent="0.25">
      <c r="A661" s="17"/>
      <c r="B661" s="17"/>
      <c r="D661" s="18"/>
      <c r="E661" s="18"/>
      <c r="F661" s="18"/>
      <c r="G661" s="18"/>
      <c r="H661" s="58"/>
      <c r="I661" s="21"/>
      <c r="J661" s="22"/>
    </row>
    <row r="662" spans="1:10" ht="13.2" x14ac:dyDescent="0.25">
      <c r="A662" s="17"/>
      <c r="B662" s="17"/>
      <c r="D662" s="18"/>
      <c r="E662" s="18"/>
      <c r="F662" s="18"/>
      <c r="G662" s="18"/>
      <c r="H662" s="58"/>
      <c r="I662" s="21"/>
      <c r="J662" s="22"/>
    </row>
    <row r="663" spans="1:10" ht="13.2" x14ac:dyDescent="0.25">
      <c r="A663" s="17"/>
      <c r="B663" s="17"/>
      <c r="D663" s="18"/>
      <c r="E663" s="18"/>
      <c r="F663" s="18"/>
      <c r="G663" s="18"/>
      <c r="H663" s="58"/>
      <c r="I663" s="21"/>
      <c r="J663" s="22"/>
    </row>
    <row r="664" spans="1:10" ht="13.2" x14ac:dyDescent="0.25">
      <c r="A664" s="17"/>
      <c r="B664" s="17"/>
      <c r="D664" s="18"/>
      <c r="E664" s="18"/>
      <c r="F664" s="18"/>
      <c r="G664" s="18"/>
      <c r="H664" s="58"/>
      <c r="I664" s="21"/>
      <c r="J664" s="22"/>
    </row>
    <row r="665" spans="1:10" ht="13.2" x14ac:dyDescent="0.25">
      <c r="A665" s="17"/>
      <c r="B665" s="17"/>
      <c r="D665" s="18"/>
      <c r="E665" s="18"/>
      <c r="F665" s="18"/>
      <c r="G665" s="18"/>
      <c r="H665" s="58"/>
      <c r="I665" s="21"/>
      <c r="J665" s="22"/>
    </row>
    <row r="666" spans="1:10" ht="13.2" x14ac:dyDescent="0.25">
      <c r="A666" s="17"/>
      <c r="B666" s="17"/>
      <c r="D666" s="18"/>
      <c r="E666" s="18"/>
      <c r="F666" s="18"/>
      <c r="G666" s="18"/>
      <c r="H666" s="58"/>
      <c r="I666" s="21"/>
      <c r="J666" s="22"/>
    </row>
    <row r="667" spans="1:10" ht="13.2" x14ac:dyDescent="0.25">
      <c r="A667" s="17"/>
      <c r="B667" s="17"/>
      <c r="D667" s="18"/>
      <c r="E667" s="18"/>
      <c r="F667" s="18"/>
      <c r="G667" s="18"/>
      <c r="H667" s="58"/>
      <c r="I667" s="21"/>
      <c r="J667" s="22"/>
    </row>
    <row r="668" spans="1:10" ht="13.2" x14ac:dyDescent="0.25">
      <c r="A668" s="17"/>
      <c r="B668" s="17"/>
      <c r="D668" s="18"/>
      <c r="E668" s="18"/>
      <c r="F668" s="18"/>
      <c r="G668" s="18"/>
      <c r="H668" s="58"/>
      <c r="I668" s="21"/>
      <c r="J668" s="22"/>
    </row>
    <row r="669" spans="1:10" ht="13.2" x14ac:dyDescent="0.25">
      <c r="A669" s="17"/>
      <c r="B669" s="17"/>
      <c r="D669" s="18"/>
      <c r="E669" s="18"/>
      <c r="F669" s="18"/>
      <c r="G669" s="18"/>
      <c r="H669" s="58"/>
      <c r="I669" s="21"/>
      <c r="J669" s="22"/>
    </row>
    <row r="670" spans="1:10" ht="13.2" x14ac:dyDescent="0.25">
      <c r="A670" s="17"/>
      <c r="B670" s="17"/>
      <c r="D670" s="18"/>
      <c r="E670" s="18"/>
      <c r="F670" s="18"/>
      <c r="G670" s="18"/>
      <c r="H670" s="58"/>
      <c r="I670" s="21"/>
      <c r="J670" s="22"/>
    </row>
    <row r="671" spans="1:10" ht="13.2" x14ac:dyDescent="0.25">
      <c r="A671" s="17"/>
      <c r="B671" s="17"/>
      <c r="D671" s="18"/>
      <c r="E671" s="18"/>
      <c r="F671" s="18"/>
      <c r="G671" s="18"/>
      <c r="H671" s="58"/>
      <c r="I671" s="21"/>
      <c r="J671" s="22"/>
    </row>
    <row r="672" spans="1:10" ht="13.2" x14ac:dyDescent="0.25">
      <c r="A672" s="17"/>
      <c r="B672" s="17"/>
      <c r="D672" s="18"/>
      <c r="E672" s="18"/>
      <c r="F672" s="18"/>
      <c r="G672" s="18"/>
      <c r="H672" s="58"/>
      <c r="I672" s="21"/>
      <c r="J672" s="22"/>
    </row>
    <row r="673" spans="1:10" ht="13.2" x14ac:dyDescent="0.25">
      <c r="A673" s="17"/>
      <c r="B673" s="17"/>
      <c r="D673" s="18"/>
      <c r="E673" s="18"/>
      <c r="F673" s="18"/>
      <c r="G673" s="18"/>
      <c r="H673" s="58"/>
      <c r="I673" s="21"/>
      <c r="J673" s="22"/>
    </row>
    <row r="674" spans="1:10" ht="13.2" x14ac:dyDescent="0.25">
      <c r="A674" s="17"/>
      <c r="B674" s="17"/>
      <c r="D674" s="18"/>
      <c r="E674" s="18"/>
      <c r="F674" s="18"/>
      <c r="G674" s="18"/>
      <c r="H674" s="58"/>
      <c r="I674" s="21"/>
      <c r="J674" s="22"/>
    </row>
    <row r="675" spans="1:10" ht="13.2" x14ac:dyDescent="0.25">
      <c r="A675" s="17"/>
      <c r="B675" s="17"/>
      <c r="D675" s="18"/>
      <c r="E675" s="18"/>
      <c r="F675" s="18"/>
      <c r="G675" s="18"/>
      <c r="H675" s="58"/>
      <c r="I675" s="21"/>
      <c r="J675" s="22"/>
    </row>
    <row r="676" spans="1:10" ht="13.2" x14ac:dyDescent="0.25">
      <c r="A676" s="17"/>
      <c r="B676" s="17"/>
      <c r="D676" s="18"/>
      <c r="E676" s="18"/>
      <c r="F676" s="18"/>
      <c r="G676" s="18"/>
      <c r="H676" s="58"/>
      <c r="I676" s="21"/>
      <c r="J676" s="22"/>
    </row>
    <row r="677" spans="1:10" ht="13.2" x14ac:dyDescent="0.25">
      <c r="A677" s="17"/>
      <c r="B677" s="17"/>
      <c r="D677" s="18"/>
      <c r="E677" s="18"/>
      <c r="F677" s="18"/>
      <c r="G677" s="18"/>
      <c r="H677" s="58"/>
      <c r="I677" s="21"/>
      <c r="J677" s="22"/>
    </row>
    <row r="678" spans="1:10" ht="13.2" x14ac:dyDescent="0.25">
      <c r="A678" s="17"/>
      <c r="B678" s="17"/>
      <c r="D678" s="18"/>
      <c r="E678" s="18"/>
      <c r="F678" s="18"/>
      <c r="G678" s="18"/>
      <c r="H678" s="58"/>
      <c r="I678" s="21"/>
      <c r="J678" s="22"/>
    </row>
    <row r="679" spans="1:10" ht="13.2" x14ac:dyDescent="0.25">
      <c r="A679" s="17"/>
      <c r="B679" s="17"/>
      <c r="D679" s="18"/>
      <c r="E679" s="18"/>
      <c r="F679" s="18"/>
      <c r="G679" s="18"/>
      <c r="H679" s="58"/>
      <c r="I679" s="21"/>
      <c r="J679" s="22"/>
    </row>
    <row r="680" spans="1:10" ht="13.2" x14ac:dyDescent="0.25">
      <c r="A680" s="17"/>
      <c r="B680" s="17"/>
      <c r="D680" s="18"/>
      <c r="E680" s="18"/>
      <c r="F680" s="18"/>
      <c r="G680" s="18"/>
      <c r="H680" s="58"/>
      <c r="I680" s="21"/>
      <c r="J680" s="22"/>
    </row>
    <row r="681" spans="1:10" ht="13.2" x14ac:dyDescent="0.25">
      <c r="A681" s="17"/>
      <c r="B681" s="17"/>
      <c r="D681" s="18"/>
      <c r="E681" s="18"/>
      <c r="F681" s="18"/>
      <c r="G681" s="18"/>
      <c r="H681" s="58"/>
      <c r="I681" s="21"/>
      <c r="J681" s="22"/>
    </row>
    <row r="682" spans="1:10" ht="13.2" x14ac:dyDescent="0.25">
      <c r="A682" s="17"/>
      <c r="B682" s="17"/>
      <c r="D682" s="18"/>
      <c r="E682" s="18"/>
      <c r="F682" s="18"/>
      <c r="G682" s="18"/>
      <c r="H682" s="58"/>
      <c r="I682" s="21"/>
      <c r="J682" s="22"/>
    </row>
    <row r="683" spans="1:10" ht="13.2" x14ac:dyDescent="0.25">
      <c r="A683" s="17"/>
      <c r="B683" s="17"/>
      <c r="D683" s="18"/>
      <c r="E683" s="18"/>
      <c r="F683" s="18"/>
      <c r="G683" s="18"/>
      <c r="H683" s="58"/>
      <c r="I683" s="21"/>
      <c r="J683" s="22"/>
    </row>
    <row r="684" spans="1:10" ht="13.2" x14ac:dyDescent="0.25">
      <c r="A684" s="17"/>
      <c r="B684" s="17"/>
      <c r="D684" s="18"/>
      <c r="E684" s="18"/>
      <c r="F684" s="18"/>
      <c r="G684" s="18"/>
      <c r="H684" s="58"/>
      <c r="I684" s="21"/>
      <c r="J684" s="22"/>
    </row>
    <row r="685" spans="1:10" ht="13.2" x14ac:dyDescent="0.25">
      <c r="A685" s="17"/>
      <c r="B685" s="17"/>
      <c r="D685" s="18"/>
      <c r="E685" s="18"/>
      <c r="F685" s="18"/>
      <c r="G685" s="18"/>
      <c r="H685" s="58"/>
      <c r="I685" s="21"/>
      <c r="J685" s="22"/>
    </row>
    <row r="686" spans="1:10" ht="13.2" x14ac:dyDescent="0.25">
      <c r="A686" s="17"/>
      <c r="B686" s="17"/>
      <c r="D686" s="18"/>
      <c r="E686" s="18"/>
      <c r="F686" s="18"/>
      <c r="G686" s="18"/>
      <c r="H686" s="58"/>
      <c r="I686" s="21"/>
      <c r="J686" s="22"/>
    </row>
    <row r="687" spans="1:10" ht="13.2" x14ac:dyDescent="0.25">
      <c r="A687" s="17"/>
      <c r="B687" s="17"/>
      <c r="D687" s="18"/>
      <c r="E687" s="18"/>
      <c r="F687" s="18"/>
      <c r="G687" s="18"/>
      <c r="H687" s="58"/>
      <c r="I687" s="21"/>
      <c r="J687" s="22"/>
    </row>
    <row r="688" spans="1:10" ht="13.2" x14ac:dyDescent="0.25">
      <c r="A688" s="17"/>
      <c r="B688" s="17"/>
      <c r="D688" s="18"/>
      <c r="E688" s="18"/>
      <c r="F688" s="18"/>
      <c r="G688" s="18"/>
      <c r="H688" s="58"/>
      <c r="I688" s="21"/>
      <c r="J688" s="22"/>
    </row>
    <row r="689" spans="1:10" ht="13.2" x14ac:dyDescent="0.25">
      <c r="A689" s="17"/>
      <c r="B689" s="17"/>
      <c r="D689" s="18"/>
      <c r="E689" s="18"/>
      <c r="F689" s="18"/>
      <c r="G689" s="18"/>
      <c r="H689" s="58"/>
      <c r="I689" s="21"/>
      <c r="J689" s="22"/>
    </row>
    <row r="690" spans="1:10" ht="13.2" x14ac:dyDescent="0.25">
      <c r="A690" s="17"/>
      <c r="B690" s="17"/>
      <c r="D690" s="18"/>
      <c r="E690" s="18"/>
      <c r="F690" s="18"/>
      <c r="G690" s="18"/>
      <c r="H690" s="58"/>
      <c r="I690" s="21"/>
      <c r="J690" s="22"/>
    </row>
    <row r="691" spans="1:10" ht="13.2" x14ac:dyDescent="0.25">
      <c r="A691" s="17"/>
      <c r="B691" s="17"/>
      <c r="D691" s="18"/>
      <c r="E691" s="18"/>
      <c r="F691" s="18"/>
      <c r="G691" s="18"/>
      <c r="H691" s="58"/>
      <c r="I691" s="21"/>
      <c r="J691" s="22"/>
    </row>
    <row r="692" spans="1:10" ht="13.2" x14ac:dyDescent="0.25">
      <c r="A692" s="17"/>
      <c r="B692" s="17"/>
      <c r="D692" s="18"/>
      <c r="E692" s="18"/>
      <c r="F692" s="18"/>
      <c r="G692" s="18"/>
      <c r="H692" s="58"/>
      <c r="I692" s="21"/>
      <c r="J692" s="22"/>
    </row>
    <row r="693" spans="1:10" ht="13.2" x14ac:dyDescent="0.25">
      <c r="A693" s="17"/>
      <c r="B693" s="17"/>
      <c r="D693" s="18"/>
      <c r="E693" s="18"/>
      <c r="F693" s="18"/>
      <c r="G693" s="18"/>
      <c r="H693" s="58"/>
      <c r="I693" s="21"/>
      <c r="J693" s="22"/>
    </row>
    <row r="694" spans="1:10" ht="13.2" x14ac:dyDescent="0.25">
      <c r="A694" s="17"/>
      <c r="B694" s="17"/>
      <c r="D694" s="18"/>
      <c r="E694" s="18"/>
      <c r="F694" s="18"/>
      <c r="G694" s="18"/>
      <c r="H694" s="58"/>
      <c r="I694" s="21"/>
      <c r="J694" s="22"/>
    </row>
    <row r="695" spans="1:10" ht="13.2" x14ac:dyDescent="0.25">
      <c r="A695" s="17"/>
      <c r="B695" s="17"/>
      <c r="D695" s="18"/>
      <c r="E695" s="18"/>
      <c r="F695" s="18"/>
      <c r="G695" s="18"/>
      <c r="H695" s="58"/>
      <c r="I695" s="21"/>
      <c r="J695" s="22"/>
    </row>
    <row r="696" spans="1:10" ht="13.2" x14ac:dyDescent="0.25">
      <c r="A696" s="17"/>
      <c r="B696" s="17"/>
      <c r="D696" s="18"/>
      <c r="E696" s="18"/>
      <c r="F696" s="18"/>
      <c r="G696" s="18"/>
      <c r="H696" s="58"/>
      <c r="I696" s="21"/>
      <c r="J696" s="22"/>
    </row>
    <row r="697" spans="1:10" ht="13.2" x14ac:dyDescent="0.25">
      <c r="A697" s="17"/>
      <c r="B697" s="17"/>
      <c r="D697" s="18"/>
      <c r="E697" s="18"/>
      <c r="F697" s="18"/>
      <c r="G697" s="18"/>
      <c r="H697" s="58"/>
      <c r="I697" s="21"/>
      <c r="J697" s="22"/>
    </row>
    <row r="698" spans="1:10" ht="13.2" x14ac:dyDescent="0.25">
      <c r="A698" s="17"/>
      <c r="B698" s="17"/>
      <c r="D698" s="18"/>
      <c r="E698" s="18"/>
      <c r="F698" s="18"/>
      <c r="G698" s="18"/>
      <c r="H698" s="58"/>
      <c r="I698" s="21"/>
      <c r="J698" s="22"/>
    </row>
    <row r="699" spans="1:10" ht="13.2" x14ac:dyDescent="0.25">
      <c r="A699" s="17"/>
      <c r="B699" s="17"/>
      <c r="D699" s="18"/>
      <c r="E699" s="18"/>
      <c r="F699" s="18"/>
      <c r="G699" s="18"/>
      <c r="H699" s="58"/>
      <c r="I699" s="21"/>
      <c r="J699" s="22"/>
    </row>
    <row r="700" spans="1:10" ht="13.2" x14ac:dyDescent="0.25">
      <c r="A700" s="17"/>
      <c r="B700" s="17"/>
      <c r="D700" s="18"/>
      <c r="E700" s="18"/>
      <c r="F700" s="18"/>
      <c r="G700" s="18"/>
      <c r="H700" s="58"/>
      <c r="I700" s="21"/>
      <c r="J700" s="22"/>
    </row>
    <row r="701" spans="1:10" ht="13.2" x14ac:dyDescent="0.25">
      <c r="A701" s="17"/>
      <c r="B701" s="17"/>
      <c r="D701" s="18"/>
      <c r="E701" s="18"/>
      <c r="F701" s="18"/>
      <c r="G701" s="18"/>
      <c r="H701" s="58"/>
      <c r="I701" s="21"/>
      <c r="J701" s="22"/>
    </row>
    <row r="702" spans="1:10" ht="13.2" x14ac:dyDescent="0.25">
      <c r="A702" s="17"/>
      <c r="B702" s="17"/>
      <c r="D702" s="18"/>
      <c r="E702" s="18"/>
      <c r="F702" s="18"/>
      <c r="G702" s="18"/>
      <c r="H702" s="58"/>
      <c r="I702" s="21"/>
      <c r="J702" s="22"/>
    </row>
    <row r="703" spans="1:10" ht="13.2" x14ac:dyDescent="0.25">
      <c r="A703" s="17"/>
      <c r="B703" s="17"/>
      <c r="D703" s="18"/>
      <c r="E703" s="18"/>
      <c r="F703" s="18"/>
      <c r="G703" s="18"/>
      <c r="H703" s="58"/>
      <c r="I703" s="21"/>
      <c r="J703" s="22"/>
    </row>
    <row r="704" spans="1:10" ht="13.2" x14ac:dyDescent="0.25">
      <c r="A704" s="17"/>
      <c r="B704" s="17"/>
      <c r="D704" s="18"/>
      <c r="E704" s="18"/>
      <c r="F704" s="18"/>
      <c r="G704" s="18"/>
      <c r="H704" s="58"/>
      <c r="I704" s="21"/>
      <c r="J704" s="22"/>
    </row>
    <row r="705" spans="1:10" ht="13.2" x14ac:dyDescent="0.25">
      <c r="A705" s="17"/>
      <c r="B705" s="17"/>
      <c r="D705" s="18"/>
      <c r="E705" s="18"/>
      <c r="F705" s="18"/>
      <c r="G705" s="18"/>
      <c r="H705" s="58"/>
      <c r="I705" s="21"/>
      <c r="J705" s="22"/>
    </row>
    <row r="706" spans="1:10" ht="13.2" x14ac:dyDescent="0.25">
      <c r="A706" s="17"/>
      <c r="B706" s="17"/>
      <c r="D706" s="18"/>
      <c r="E706" s="18"/>
      <c r="F706" s="18"/>
      <c r="G706" s="18"/>
      <c r="H706" s="58"/>
      <c r="I706" s="21"/>
      <c r="J706" s="22"/>
    </row>
    <row r="707" spans="1:10" ht="13.2" x14ac:dyDescent="0.25">
      <c r="A707" s="17"/>
      <c r="B707" s="17"/>
      <c r="D707" s="18"/>
      <c r="E707" s="18"/>
      <c r="F707" s="18"/>
      <c r="G707" s="18"/>
      <c r="H707" s="58"/>
      <c r="I707" s="21"/>
      <c r="J707" s="22"/>
    </row>
    <row r="708" spans="1:10" ht="13.2" x14ac:dyDescent="0.25">
      <c r="A708" s="17"/>
      <c r="B708" s="17"/>
      <c r="D708" s="18"/>
      <c r="E708" s="18"/>
      <c r="F708" s="18"/>
      <c r="G708" s="18"/>
      <c r="H708" s="58"/>
      <c r="I708" s="21"/>
      <c r="J708" s="22"/>
    </row>
    <row r="709" spans="1:10" ht="13.2" x14ac:dyDescent="0.25">
      <c r="A709" s="17"/>
      <c r="B709" s="17"/>
      <c r="D709" s="18"/>
      <c r="E709" s="18"/>
      <c r="F709" s="18"/>
      <c r="G709" s="18"/>
      <c r="H709" s="58"/>
      <c r="I709" s="21"/>
      <c r="J709" s="22"/>
    </row>
    <row r="710" spans="1:10" ht="13.2" x14ac:dyDescent="0.25">
      <c r="A710" s="17"/>
      <c r="B710" s="17"/>
      <c r="D710" s="18"/>
      <c r="E710" s="18"/>
      <c r="F710" s="18"/>
      <c r="G710" s="18"/>
      <c r="H710" s="58"/>
      <c r="I710" s="21"/>
      <c r="J710" s="22"/>
    </row>
    <row r="711" spans="1:10" ht="13.2" x14ac:dyDescent="0.25">
      <c r="A711" s="17"/>
      <c r="B711" s="17"/>
      <c r="D711" s="18"/>
      <c r="E711" s="18"/>
      <c r="F711" s="18"/>
      <c r="G711" s="18"/>
      <c r="H711" s="58"/>
      <c r="I711" s="21"/>
      <c r="J711" s="22"/>
    </row>
    <row r="712" spans="1:10" ht="13.2" x14ac:dyDescent="0.25">
      <c r="A712" s="17"/>
      <c r="B712" s="17"/>
      <c r="D712" s="18"/>
      <c r="E712" s="18"/>
      <c r="F712" s="18"/>
      <c r="G712" s="18"/>
      <c r="H712" s="58"/>
      <c r="I712" s="21"/>
      <c r="J712" s="22"/>
    </row>
    <row r="713" spans="1:10" ht="13.2" x14ac:dyDescent="0.25">
      <c r="A713" s="17"/>
      <c r="B713" s="17"/>
      <c r="D713" s="18"/>
      <c r="E713" s="18"/>
      <c r="F713" s="18"/>
      <c r="G713" s="18"/>
      <c r="H713" s="58"/>
      <c r="I713" s="21"/>
      <c r="J713" s="22"/>
    </row>
    <row r="714" spans="1:10" ht="13.2" x14ac:dyDescent="0.25">
      <c r="A714" s="17"/>
      <c r="B714" s="17"/>
      <c r="D714" s="18"/>
      <c r="E714" s="18"/>
      <c r="F714" s="18"/>
      <c r="G714" s="18"/>
      <c r="H714" s="58"/>
      <c r="I714" s="21"/>
      <c r="J714" s="22"/>
    </row>
    <row r="715" spans="1:10" ht="13.2" x14ac:dyDescent="0.25">
      <c r="A715" s="17"/>
      <c r="B715" s="17"/>
      <c r="D715" s="18"/>
      <c r="E715" s="18"/>
      <c r="F715" s="18"/>
      <c r="G715" s="18"/>
      <c r="H715" s="58"/>
      <c r="I715" s="21"/>
      <c r="J715" s="22"/>
    </row>
    <row r="716" spans="1:10" ht="13.2" x14ac:dyDescent="0.25">
      <c r="A716" s="17"/>
      <c r="B716" s="17"/>
      <c r="D716" s="18"/>
      <c r="E716" s="18"/>
      <c r="F716" s="18"/>
      <c r="G716" s="18"/>
      <c r="H716" s="58"/>
      <c r="I716" s="21"/>
      <c r="J716" s="22"/>
    </row>
    <row r="717" spans="1:10" ht="13.2" x14ac:dyDescent="0.25">
      <c r="A717" s="17"/>
      <c r="B717" s="17"/>
      <c r="D717" s="18"/>
      <c r="E717" s="18"/>
      <c r="F717" s="18"/>
      <c r="G717" s="18"/>
      <c r="H717" s="58"/>
      <c r="I717" s="21"/>
      <c r="J717" s="22"/>
    </row>
    <row r="718" spans="1:10" ht="13.2" x14ac:dyDescent="0.25">
      <c r="A718" s="17"/>
      <c r="B718" s="17"/>
      <c r="D718" s="18"/>
      <c r="E718" s="18"/>
      <c r="F718" s="18"/>
      <c r="G718" s="18"/>
      <c r="H718" s="58"/>
      <c r="I718" s="21"/>
      <c r="J718" s="22"/>
    </row>
    <row r="719" spans="1:10" ht="13.2" x14ac:dyDescent="0.25">
      <c r="A719" s="17"/>
      <c r="B719" s="17"/>
      <c r="D719" s="18"/>
      <c r="E719" s="18"/>
      <c r="F719" s="18"/>
      <c r="G719" s="18"/>
      <c r="H719" s="58"/>
      <c r="I719" s="21"/>
      <c r="J719" s="22"/>
    </row>
    <row r="720" spans="1:10" ht="13.2" x14ac:dyDescent="0.25">
      <c r="A720" s="17"/>
      <c r="B720" s="17"/>
      <c r="D720" s="18"/>
      <c r="E720" s="18"/>
      <c r="F720" s="18"/>
      <c r="G720" s="18"/>
      <c r="H720" s="58"/>
      <c r="I720" s="21"/>
      <c r="J720" s="22"/>
    </row>
    <row r="721" spans="1:10" ht="13.2" x14ac:dyDescent="0.25">
      <c r="A721" s="17"/>
      <c r="B721" s="17"/>
      <c r="D721" s="18"/>
      <c r="E721" s="18"/>
      <c r="F721" s="18"/>
      <c r="G721" s="18"/>
      <c r="H721" s="58"/>
      <c r="I721" s="21"/>
      <c r="J721" s="22"/>
    </row>
    <row r="722" spans="1:10" ht="13.2" x14ac:dyDescent="0.25">
      <c r="A722" s="17"/>
      <c r="B722" s="17"/>
      <c r="D722" s="18"/>
      <c r="E722" s="18"/>
      <c r="F722" s="18"/>
      <c r="G722" s="18"/>
      <c r="H722" s="58"/>
      <c r="I722" s="21"/>
      <c r="J722" s="22"/>
    </row>
    <row r="723" spans="1:10" ht="13.2" x14ac:dyDescent="0.25">
      <c r="A723" s="17"/>
      <c r="B723" s="17"/>
      <c r="D723" s="18"/>
      <c r="E723" s="18"/>
      <c r="F723" s="18"/>
      <c r="G723" s="18"/>
      <c r="H723" s="58"/>
      <c r="I723" s="21"/>
      <c r="J723" s="22"/>
    </row>
    <row r="724" spans="1:10" ht="13.2" x14ac:dyDescent="0.25">
      <c r="A724" s="17"/>
      <c r="B724" s="17"/>
      <c r="D724" s="18"/>
      <c r="E724" s="18"/>
      <c r="F724" s="18"/>
      <c r="G724" s="18"/>
      <c r="H724" s="58"/>
      <c r="I724" s="21"/>
      <c r="J724" s="22"/>
    </row>
    <row r="725" spans="1:10" ht="13.2" x14ac:dyDescent="0.25">
      <c r="A725" s="17"/>
      <c r="B725" s="17"/>
      <c r="D725" s="18"/>
      <c r="E725" s="18"/>
      <c r="F725" s="18"/>
      <c r="G725" s="18"/>
      <c r="H725" s="58"/>
      <c r="I725" s="21"/>
      <c r="J725" s="22"/>
    </row>
    <row r="726" spans="1:10" ht="13.2" x14ac:dyDescent="0.25">
      <c r="A726" s="17"/>
      <c r="B726" s="17"/>
      <c r="D726" s="18"/>
      <c r="E726" s="18"/>
      <c r="F726" s="18"/>
      <c r="G726" s="18"/>
      <c r="H726" s="58"/>
      <c r="I726" s="21"/>
      <c r="J726" s="22"/>
    </row>
    <row r="727" spans="1:10" ht="13.2" x14ac:dyDescent="0.25">
      <c r="A727" s="17"/>
      <c r="B727" s="17"/>
      <c r="D727" s="18"/>
      <c r="E727" s="18"/>
      <c r="F727" s="18"/>
      <c r="G727" s="18"/>
      <c r="H727" s="58"/>
      <c r="I727" s="21"/>
      <c r="J727" s="22"/>
    </row>
    <row r="728" spans="1:10" ht="13.2" x14ac:dyDescent="0.25">
      <c r="A728" s="17"/>
      <c r="B728" s="17"/>
      <c r="D728" s="18"/>
      <c r="E728" s="18"/>
      <c r="F728" s="18"/>
      <c r="G728" s="18"/>
      <c r="H728" s="58"/>
      <c r="I728" s="21"/>
      <c r="J728" s="22"/>
    </row>
    <row r="729" spans="1:10" ht="13.2" x14ac:dyDescent="0.25">
      <c r="A729" s="17"/>
      <c r="B729" s="17"/>
      <c r="D729" s="18"/>
      <c r="E729" s="18"/>
      <c r="F729" s="18"/>
      <c r="G729" s="18"/>
      <c r="H729" s="58"/>
      <c r="I729" s="21"/>
      <c r="J729" s="22"/>
    </row>
    <row r="730" spans="1:10" ht="13.2" x14ac:dyDescent="0.25">
      <c r="A730" s="17"/>
      <c r="B730" s="17"/>
      <c r="D730" s="18"/>
      <c r="E730" s="18"/>
      <c r="F730" s="18"/>
      <c r="G730" s="18"/>
      <c r="H730" s="58"/>
      <c r="I730" s="21"/>
      <c r="J730" s="22"/>
    </row>
    <row r="731" spans="1:10" ht="13.2" x14ac:dyDescent="0.25">
      <c r="A731" s="17"/>
      <c r="B731" s="17"/>
      <c r="D731" s="18"/>
      <c r="E731" s="18"/>
      <c r="F731" s="18"/>
      <c r="G731" s="18"/>
      <c r="H731" s="58"/>
      <c r="I731" s="21"/>
      <c r="J731" s="22"/>
    </row>
    <row r="732" spans="1:10" ht="13.2" x14ac:dyDescent="0.25">
      <c r="A732" s="17"/>
      <c r="B732" s="17"/>
      <c r="D732" s="18"/>
      <c r="E732" s="18"/>
      <c r="F732" s="18"/>
      <c r="G732" s="18"/>
      <c r="H732" s="58"/>
      <c r="I732" s="21"/>
      <c r="J732" s="22"/>
    </row>
    <row r="733" spans="1:10" ht="13.2" x14ac:dyDescent="0.25">
      <c r="A733" s="17"/>
      <c r="B733" s="17"/>
      <c r="D733" s="18"/>
      <c r="E733" s="18"/>
      <c r="F733" s="18"/>
      <c r="G733" s="18"/>
      <c r="H733" s="58"/>
      <c r="I733" s="21"/>
      <c r="J733" s="22"/>
    </row>
    <row r="734" spans="1:10" ht="13.2" x14ac:dyDescent="0.25">
      <c r="A734" s="17"/>
      <c r="B734" s="17"/>
      <c r="D734" s="18"/>
      <c r="E734" s="18"/>
      <c r="F734" s="18"/>
      <c r="G734" s="18"/>
      <c r="H734" s="58"/>
      <c r="I734" s="21"/>
      <c r="J734" s="22"/>
    </row>
    <row r="735" spans="1:10" ht="13.2" x14ac:dyDescent="0.25">
      <c r="A735" s="17"/>
      <c r="B735" s="17"/>
      <c r="D735" s="18"/>
      <c r="E735" s="18"/>
      <c r="F735" s="18"/>
      <c r="G735" s="18"/>
      <c r="H735" s="58"/>
      <c r="I735" s="21"/>
      <c r="J735" s="22"/>
    </row>
    <row r="736" spans="1:10" ht="13.2" x14ac:dyDescent="0.25">
      <c r="A736" s="17"/>
      <c r="B736" s="17"/>
      <c r="D736" s="18"/>
      <c r="E736" s="18"/>
      <c r="F736" s="18"/>
      <c r="G736" s="18"/>
      <c r="H736" s="58"/>
      <c r="I736" s="21"/>
      <c r="J736" s="22"/>
    </row>
    <row r="737" spans="1:10" ht="13.2" x14ac:dyDescent="0.25">
      <c r="A737" s="17"/>
      <c r="B737" s="17"/>
      <c r="D737" s="18"/>
      <c r="E737" s="18"/>
      <c r="F737" s="18"/>
      <c r="G737" s="18"/>
      <c r="H737" s="58"/>
      <c r="I737" s="21"/>
      <c r="J737" s="22"/>
    </row>
    <row r="738" spans="1:10" ht="13.2" x14ac:dyDescent="0.25">
      <c r="A738" s="17"/>
      <c r="B738" s="17"/>
      <c r="D738" s="18"/>
      <c r="E738" s="18"/>
      <c r="F738" s="18"/>
      <c r="G738" s="18"/>
      <c r="H738" s="58"/>
      <c r="I738" s="21"/>
      <c r="J738" s="22"/>
    </row>
    <row r="739" spans="1:10" ht="13.2" x14ac:dyDescent="0.25">
      <c r="A739" s="17"/>
      <c r="B739" s="17"/>
      <c r="D739" s="18"/>
      <c r="E739" s="18"/>
      <c r="F739" s="18"/>
      <c r="G739" s="18"/>
      <c r="H739" s="58"/>
      <c r="I739" s="21"/>
      <c r="J739" s="22"/>
    </row>
    <row r="740" spans="1:10" ht="13.2" x14ac:dyDescent="0.25">
      <c r="A740" s="17"/>
      <c r="B740" s="17"/>
      <c r="D740" s="18"/>
      <c r="E740" s="18"/>
      <c r="F740" s="18"/>
      <c r="G740" s="18"/>
      <c r="H740" s="58"/>
      <c r="I740" s="21"/>
      <c r="J740" s="22"/>
    </row>
    <row r="741" spans="1:10" ht="13.2" x14ac:dyDescent="0.25">
      <c r="A741" s="17"/>
      <c r="B741" s="17"/>
      <c r="D741" s="18"/>
      <c r="E741" s="18"/>
      <c r="F741" s="18"/>
      <c r="G741" s="18"/>
      <c r="H741" s="58"/>
      <c r="I741" s="21"/>
      <c r="J741" s="22"/>
    </row>
    <row r="742" spans="1:10" ht="13.2" x14ac:dyDescent="0.25">
      <c r="A742" s="17"/>
      <c r="B742" s="17"/>
      <c r="D742" s="18"/>
      <c r="E742" s="18"/>
      <c r="F742" s="18"/>
      <c r="G742" s="18"/>
      <c r="H742" s="58"/>
      <c r="I742" s="21"/>
      <c r="J742" s="22"/>
    </row>
    <row r="743" spans="1:10" ht="13.2" x14ac:dyDescent="0.25">
      <c r="A743" s="17"/>
      <c r="B743" s="17"/>
      <c r="D743" s="18"/>
      <c r="E743" s="18"/>
      <c r="F743" s="18"/>
      <c r="G743" s="18"/>
      <c r="H743" s="58"/>
      <c r="I743" s="21"/>
      <c r="J743" s="22"/>
    </row>
    <row r="744" spans="1:10" ht="13.2" x14ac:dyDescent="0.25">
      <c r="A744" s="17"/>
      <c r="B744" s="17"/>
      <c r="D744" s="18"/>
      <c r="E744" s="18"/>
      <c r="F744" s="18"/>
      <c r="G744" s="18"/>
      <c r="H744" s="58"/>
      <c r="I744" s="21"/>
      <c r="J744" s="22"/>
    </row>
    <row r="745" spans="1:10" ht="13.2" x14ac:dyDescent="0.25">
      <c r="A745" s="17"/>
      <c r="B745" s="17"/>
      <c r="D745" s="18"/>
      <c r="E745" s="18"/>
      <c r="F745" s="18"/>
      <c r="G745" s="18"/>
      <c r="H745" s="58"/>
      <c r="I745" s="21"/>
      <c r="J745" s="22"/>
    </row>
    <row r="746" spans="1:10" ht="13.2" x14ac:dyDescent="0.25">
      <c r="A746" s="17"/>
      <c r="B746" s="17"/>
      <c r="D746" s="18"/>
      <c r="E746" s="18"/>
      <c r="F746" s="18"/>
      <c r="G746" s="18"/>
      <c r="H746" s="58"/>
      <c r="I746" s="21"/>
      <c r="J746" s="22"/>
    </row>
    <row r="747" spans="1:10" ht="13.2" x14ac:dyDescent="0.25">
      <c r="A747" s="17"/>
      <c r="B747" s="17"/>
      <c r="D747" s="18"/>
      <c r="E747" s="18"/>
      <c r="F747" s="18"/>
      <c r="G747" s="18"/>
      <c r="H747" s="58"/>
      <c r="I747" s="21"/>
      <c r="J747" s="22"/>
    </row>
    <row r="748" spans="1:10" ht="13.2" x14ac:dyDescent="0.25">
      <c r="A748" s="17"/>
      <c r="B748" s="17"/>
      <c r="D748" s="18"/>
      <c r="E748" s="18"/>
      <c r="F748" s="18"/>
      <c r="G748" s="18"/>
      <c r="H748" s="58"/>
      <c r="I748" s="21"/>
      <c r="J748" s="22"/>
    </row>
    <row r="749" spans="1:10" ht="13.2" x14ac:dyDescent="0.25">
      <c r="A749" s="17"/>
      <c r="B749" s="17"/>
      <c r="D749" s="18"/>
      <c r="E749" s="18"/>
      <c r="F749" s="18"/>
      <c r="G749" s="18"/>
      <c r="H749" s="58"/>
      <c r="I749" s="21"/>
      <c r="J749" s="22"/>
    </row>
    <row r="750" spans="1:10" ht="13.2" x14ac:dyDescent="0.25">
      <c r="A750" s="17"/>
      <c r="B750" s="17"/>
      <c r="D750" s="18"/>
      <c r="E750" s="18"/>
      <c r="F750" s="18"/>
      <c r="G750" s="18"/>
      <c r="H750" s="58"/>
      <c r="I750" s="21"/>
      <c r="J750" s="22"/>
    </row>
    <row r="751" spans="1:10" ht="13.2" x14ac:dyDescent="0.25">
      <c r="A751" s="17"/>
      <c r="B751" s="17"/>
      <c r="D751" s="18"/>
      <c r="E751" s="18"/>
      <c r="F751" s="18"/>
      <c r="G751" s="18"/>
      <c r="H751" s="58"/>
      <c r="I751" s="21"/>
      <c r="J751" s="22"/>
    </row>
    <row r="752" spans="1:10" ht="13.2" x14ac:dyDescent="0.25">
      <c r="A752" s="17"/>
      <c r="B752" s="17"/>
      <c r="D752" s="18"/>
      <c r="E752" s="18"/>
      <c r="F752" s="18"/>
      <c r="G752" s="18"/>
      <c r="H752" s="58"/>
      <c r="I752" s="21"/>
      <c r="J752" s="22"/>
    </row>
    <row r="753" spans="1:10" ht="13.2" x14ac:dyDescent="0.25">
      <c r="A753" s="17"/>
      <c r="B753" s="17"/>
      <c r="D753" s="18"/>
      <c r="E753" s="18"/>
      <c r="F753" s="18"/>
      <c r="G753" s="18"/>
      <c r="H753" s="58"/>
      <c r="I753" s="21"/>
      <c r="J753" s="22"/>
    </row>
    <row r="754" spans="1:10" ht="13.2" x14ac:dyDescent="0.25">
      <c r="A754" s="17"/>
      <c r="B754" s="17"/>
      <c r="D754" s="18"/>
      <c r="E754" s="18"/>
      <c r="F754" s="18"/>
      <c r="G754" s="18"/>
      <c r="H754" s="58"/>
      <c r="I754" s="21"/>
      <c r="J754" s="22"/>
    </row>
    <row r="755" spans="1:10" ht="13.2" x14ac:dyDescent="0.25">
      <c r="A755" s="17"/>
      <c r="B755" s="17"/>
      <c r="D755" s="18"/>
      <c r="E755" s="18"/>
      <c r="F755" s="18"/>
      <c r="G755" s="18"/>
      <c r="H755" s="58"/>
      <c r="I755" s="21"/>
      <c r="J755" s="22"/>
    </row>
    <row r="756" spans="1:10" ht="13.2" x14ac:dyDescent="0.25">
      <c r="A756" s="17"/>
      <c r="B756" s="17"/>
      <c r="D756" s="18"/>
      <c r="E756" s="18"/>
      <c r="F756" s="18"/>
      <c r="G756" s="18"/>
      <c r="H756" s="58"/>
      <c r="I756" s="21"/>
      <c r="J756" s="22"/>
    </row>
    <row r="757" spans="1:10" ht="13.2" x14ac:dyDescent="0.25">
      <c r="A757" s="17"/>
      <c r="B757" s="17"/>
      <c r="D757" s="18"/>
      <c r="E757" s="18"/>
      <c r="F757" s="18"/>
      <c r="G757" s="18"/>
      <c r="H757" s="58"/>
      <c r="I757" s="21"/>
      <c r="J757" s="22"/>
    </row>
    <row r="758" spans="1:10" ht="13.2" x14ac:dyDescent="0.25">
      <c r="A758" s="17"/>
      <c r="B758" s="17"/>
      <c r="D758" s="18"/>
      <c r="E758" s="18"/>
      <c r="F758" s="18"/>
      <c r="G758" s="18"/>
      <c r="H758" s="58"/>
      <c r="I758" s="21"/>
      <c r="J758" s="22"/>
    </row>
    <row r="759" spans="1:10" ht="13.2" x14ac:dyDescent="0.25">
      <c r="A759" s="17"/>
      <c r="B759" s="17"/>
      <c r="D759" s="18"/>
      <c r="E759" s="18"/>
      <c r="F759" s="18"/>
      <c r="G759" s="18"/>
      <c r="H759" s="58"/>
      <c r="I759" s="21"/>
      <c r="J759" s="22"/>
    </row>
    <row r="760" spans="1:10" ht="13.2" x14ac:dyDescent="0.25">
      <c r="A760" s="17"/>
      <c r="B760" s="17"/>
      <c r="D760" s="18"/>
      <c r="E760" s="18"/>
      <c r="F760" s="18"/>
      <c r="G760" s="18"/>
      <c r="H760" s="58"/>
      <c r="I760" s="21"/>
      <c r="J760" s="22"/>
    </row>
    <row r="761" spans="1:10" ht="13.2" x14ac:dyDescent="0.25">
      <c r="A761" s="17"/>
      <c r="B761" s="17"/>
      <c r="D761" s="18"/>
      <c r="E761" s="18"/>
      <c r="F761" s="18"/>
      <c r="G761" s="18"/>
      <c r="H761" s="58"/>
      <c r="I761" s="21"/>
      <c r="J761" s="22"/>
    </row>
    <row r="762" spans="1:10" ht="13.2" x14ac:dyDescent="0.25">
      <c r="A762" s="17"/>
      <c r="B762" s="17"/>
      <c r="D762" s="18"/>
      <c r="E762" s="18"/>
      <c r="F762" s="18"/>
      <c r="G762" s="18"/>
      <c r="H762" s="58"/>
      <c r="I762" s="21"/>
      <c r="J762" s="22"/>
    </row>
    <row r="763" spans="1:10" ht="13.2" x14ac:dyDescent="0.25">
      <c r="A763" s="17"/>
      <c r="B763" s="17"/>
      <c r="D763" s="18"/>
      <c r="E763" s="18"/>
      <c r="F763" s="18"/>
      <c r="G763" s="18"/>
      <c r="H763" s="58"/>
      <c r="I763" s="21"/>
      <c r="J763" s="22"/>
    </row>
    <row r="764" spans="1:10" ht="13.2" x14ac:dyDescent="0.25">
      <c r="A764" s="17"/>
      <c r="B764" s="17"/>
      <c r="D764" s="18"/>
      <c r="E764" s="18"/>
      <c r="F764" s="18"/>
      <c r="G764" s="18"/>
      <c r="H764" s="58"/>
      <c r="I764" s="21"/>
      <c r="J764" s="22"/>
    </row>
    <row r="765" spans="1:10" ht="13.2" x14ac:dyDescent="0.25">
      <c r="A765" s="17"/>
      <c r="B765" s="17"/>
      <c r="D765" s="18"/>
      <c r="E765" s="18"/>
      <c r="F765" s="18"/>
      <c r="G765" s="18"/>
      <c r="H765" s="58"/>
      <c r="I765" s="21"/>
      <c r="J765" s="22"/>
    </row>
    <row r="766" spans="1:10" ht="13.2" x14ac:dyDescent="0.25">
      <c r="A766" s="17"/>
      <c r="B766" s="17"/>
      <c r="D766" s="18"/>
      <c r="E766" s="18"/>
      <c r="F766" s="18"/>
      <c r="G766" s="18"/>
      <c r="H766" s="58"/>
      <c r="I766" s="21"/>
      <c r="J766" s="22"/>
    </row>
    <row r="767" spans="1:10" ht="13.2" x14ac:dyDescent="0.25">
      <c r="A767" s="17"/>
      <c r="B767" s="17"/>
      <c r="D767" s="18"/>
      <c r="E767" s="18"/>
      <c r="F767" s="18"/>
      <c r="G767" s="18"/>
      <c r="H767" s="58"/>
      <c r="I767" s="21"/>
      <c r="J767" s="22"/>
    </row>
    <row r="768" spans="1:10" ht="13.2" x14ac:dyDescent="0.25">
      <c r="A768" s="17"/>
      <c r="B768" s="17"/>
      <c r="D768" s="18"/>
      <c r="E768" s="18"/>
      <c r="F768" s="18"/>
      <c r="G768" s="18"/>
      <c r="H768" s="58"/>
      <c r="I768" s="21"/>
      <c r="J768" s="22"/>
    </row>
    <row r="769" spans="1:10" ht="13.2" x14ac:dyDescent="0.25">
      <c r="A769" s="17"/>
      <c r="B769" s="17"/>
      <c r="D769" s="18"/>
      <c r="E769" s="18"/>
      <c r="F769" s="18"/>
      <c r="G769" s="18"/>
      <c r="H769" s="58"/>
      <c r="I769" s="21"/>
      <c r="J769" s="22"/>
    </row>
    <row r="770" spans="1:10" ht="13.2" x14ac:dyDescent="0.25">
      <c r="A770" s="17"/>
      <c r="B770" s="17"/>
      <c r="D770" s="18"/>
      <c r="E770" s="18"/>
      <c r="F770" s="18"/>
      <c r="G770" s="18"/>
      <c r="H770" s="58"/>
      <c r="I770" s="21"/>
      <c r="J770" s="22"/>
    </row>
    <row r="771" spans="1:10" ht="13.2" x14ac:dyDescent="0.25">
      <c r="A771" s="17"/>
      <c r="B771" s="17"/>
      <c r="D771" s="18"/>
      <c r="E771" s="18"/>
      <c r="F771" s="18"/>
      <c r="G771" s="18"/>
      <c r="H771" s="58"/>
      <c r="I771" s="21"/>
      <c r="J771" s="22"/>
    </row>
    <row r="772" spans="1:10" ht="13.2" x14ac:dyDescent="0.25">
      <c r="A772" s="17"/>
      <c r="B772" s="17"/>
      <c r="D772" s="18"/>
      <c r="E772" s="18"/>
      <c r="F772" s="18"/>
      <c r="G772" s="18"/>
      <c r="H772" s="58"/>
      <c r="I772" s="21"/>
      <c r="J772" s="22"/>
    </row>
    <row r="773" spans="1:10" ht="13.2" x14ac:dyDescent="0.25">
      <c r="A773" s="17"/>
      <c r="B773" s="17"/>
      <c r="D773" s="18"/>
      <c r="E773" s="18"/>
      <c r="F773" s="18"/>
      <c r="G773" s="18"/>
      <c r="H773" s="58"/>
      <c r="I773" s="21"/>
      <c r="J773" s="22"/>
    </row>
    <row r="774" spans="1:10" ht="13.2" x14ac:dyDescent="0.25">
      <c r="A774" s="17"/>
      <c r="B774" s="17"/>
      <c r="D774" s="18"/>
      <c r="E774" s="18"/>
      <c r="F774" s="18"/>
      <c r="G774" s="18"/>
      <c r="H774" s="58"/>
      <c r="I774" s="21"/>
      <c r="J774" s="22"/>
    </row>
    <row r="775" spans="1:10" ht="13.2" x14ac:dyDescent="0.25">
      <c r="A775" s="17"/>
      <c r="B775" s="17"/>
      <c r="D775" s="18"/>
      <c r="E775" s="18"/>
      <c r="F775" s="18"/>
      <c r="G775" s="18"/>
      <c r="H775" s="58"/>
      <c r="I775" s="21"/>
      <c r="J775" s="22"/>
    </row>
    <row r="776" spans="1:10" ht="13.2" x14ac:dyDescent="0.25">
      <c r="A776" s="17"/>
      <c r="B776" s="17"/>
      <c r="D776" s="18"/>
      <c r="E776" s="18"/>
      <c r="F776" s="18"/>
      <c r="G776" s="18"/>
      <c r="H776" s="58"/>
      <c r="I776" s="21"/>
      <c r="J776" s="22"/>
    </row>
    <row r="777" spans="1:10" ht="13.2" x14ac:dyDescent="0.25">
      <c r="A777" s="17"/>
      <c r="B777" s="17"/>
      <c r="D777" s="18"/>
      <c r="E777" s="18"/>
      <c r="F777" s="18"/>
      <c r="G777" s="18"/>
      <c r="H777" s="58"/>
      <c r="I777" s="21"/>
      <c r="J777" s="22"/>
    </row>
    <row r="778" spans="1:10" ht="13.2" x14ac:dyDescent="0.25">
      <c r="A778" s="17"/>
      <c r="B778" s="17"/>
      <c r="D778" s="18"/>
      <c r="E778" s="18"/>
      <c r="F778" s="18"/>
      <c r="G778" s="18"/>
      <c r="H778" s="58"/>
      <c r="I778" s="21"/>
      <c r="J778" s="22"/>
    </row>
    <row r="779" spans="1:10" ht="13.2" x14ac:dyDescent="0.25">
      <c r="A779" s="17"/>
      <c r="B779" s="17"/>
      <c r="D779" s="18"/>
      <c r="E779" s="18"/>
      <c r="F779" s="18"/>
      <c r="G779" s="18"/>
      <c r="H779" s="58"/>
      <c r="I779" s="21"/>
      <c r="J779" s="22"/>
    </row>
    <row r="780" spans="1:10" ht="13.2" x14ac:dyDescent="0.25">
      <c r="A780" s="17"/>
      <c r="B780" s="17"/>
      <c r="D780" s="18"/>
      <c r="E780" s="18"/>
      <c r="F780" s="18"/>
      <c r="G780" s="18"/>
      <c r="H780" s="58"/>
      <c r="I780" s="21"/>
      <c r="J780" s="22"/>
    </row>
    <row r="781" spans="1:10" ht="13.2" x14ac:dyDescent="0.25">
      <c r="A781" s="17"/>
      <c r="B781" s="17"/>
      <c r="D781" s="18"/>
      <c r="E781" s="18"/>
      <c r="F781" s="18"/>
      <c r="G781" s="18"/>
      <c r="H781" s="58"/>
      <c r="I781" s="21"/>
      <c r="J781" s="22"/>
    </row>
    <row r="782" spans="1:10" ht="13.2" x14ac:dyDescent="0.25">
      <c r="A782" s="17"/>
      <c r="B782" s="17"/>
      <c r="D782" s="18"/>
      <c r="E782" s="18"/>
      <c r="F782" s="18"/>
      <c r="G782" s="18"/>
      <c r="H782" s="58"/>
      <c r="I782" s="21"/>
      <c r="J782" s="22"/>
    </row>
    <row r="783" spans="1:10" ht="13.2" x14ac:dyDescent="0.25">
      <c r="A783" s="17"/>
      <c r="B783" s="17"/>
      <c r="D783" s="18"/>
      <c r="E783" s="18"/>
      <c r="F783" s="18"/>
      <c r="G783" s="18"/>
      <c r="H783" s="58"/>
      <c r="I783" s="21"/>
      <c r="J783" s="22"/>
    </row>
    <row r="784" spans="1:10" ht="13.2" x14ac:dyDescent="0.25">
      <c r="A784" s="17"/>
      <c r="B784" s="17"/>
      <c r="D784" s="18"/>
      <c r="E784" s="18"/>
      <c r="F784" s="18"/>
      <c r="G784" s="18"/>
      <c r="H784" s="58"/>
      <c r="I784" s="21"/>
      <c r="J784" s="22"/>
    </row>
    <row r="785" spans="1:10" ht="13.2" x14ac:dyDescent="0.25">
      <c r="A785" s="17"/>
      <c r="B785" s="17"/>
      <c r="D785" s="18"/>
      <c r="E785" s="18"/>
      <c r="F785" s="18"/>
      <c r="G785" s="18"/>
      <c r="H785" s="58"/>
      <c r="I785" s="21"/>
      <c r="J785" s="22"/>
    </row>
    <row r="786" spans="1:10" ht="13.2" x14ac:dyDescent="0.25">
      <c r="A786" s="17"/>
      <c r="B786" s="17"/>
      <c r="D786" s="18"/>
      <c r="E786" s="18"/>
      <c r="F786" s="18"/>
      <c r="G786" s="18"/>
      <c r="H786" s="58"/>
      <c r="I786" s="21"/>
      <c r="J786" s="22"/>
    </row>
    <row r="787" spans="1:10" ht="13.2" x14ac:dyDescent="0.25">
      <c r="A787" s="17"/>
      <c r="B787" s="17"/>
      <c r="D787" s="18"/>
      <c r="E787" s="18"/>
      <c r="F787" s="18"/>
      <c r="G787" s="18"/>
      <c r="H787" s="58"/>
      <c r="I787" s="21"/>
      <c r="J787" s="22"/>
    </row>
    <row r="788" spans="1:10" ht="13.2" x14ac:dyDescent="0.25">
      <c r="A788" s="17"/>
      <c r="B788" s="17"/>
      <c r="D788" s="18"/>
      <c r="E788" s="18"/>
      <c r="F788" s="18"/>
      <c r="G788" s="18"/>
      <c r="H788" s="58"/>
      <c r="I788" s="21"/>
      <c r="J788" s="22"/>
    </row>
    <row r="789" spans="1:10" ht="13.2" x14ac:dyDescent="0.25">
      <c r="A789" s="17"/>
      <c r="B789" s="17"/>
      <c r="D789" s="18"/>
      <c r="E789" s="18"/>
      <c r="F789" s="18"/>
      <c r="G789" s="18"/>
      <c r="H789" s="58"/>
      <c r="I789" s="21"/>
      <c r="J789" s="22"/>
    </row>
    <row r="790" spans="1:10" ht="13.2" x14ac:dyDescent="0.25">
      <c r="A790" s="17"/>
      <c r="B790" s="17"/>
      <c r="D790" s="18"/>
      <c r="E790" s="18"/>
      <c r="F790" s="18"/>
      <c r="G790" s="18"/>
      <c r="H790" s="58"/>
      <c r="I790" s="21"/>
      <c r="J790" s="22"/>
    </row>
    <row r="791" spans="1:10" ht="13.2" x14ac:dyDescent="0.25">
      <c r="A791" s="17"/>
      <c r="B791" s="17"/>
      <c r="D791" s="18"/>
      <c r="E791" s="18"/>
      <c r="F791" s="18"/>
      <c r="G791" s="18"/>
      <c r="H791" s="58"/>
      <c r="I791" s="21"/>
      <c r="J791" s="22"/>
    </row>
    <row r="792" spans="1:10" ht="13.2" x14ac:dyDescent="0.25">
      <c r="A792" s="17"/>
      <c r="B792" s="17"/>
      <c r="D792" s="18"/>
      <c r="E792" s="18"/>
      <c r="F792" s="18"/>
      <c r="G792" s="18"/>
      <c r="H792" s="58"/>
      <c r="I792" s="21"/>
      <c r="J792" s="22"/>
    </row>
    <row r="793" spans="1:10" ht="13.2" x14ac:dyDescent="0.25">
      <c r="A793" s="17"/>
      <c r="B793" s="17"/>
      <c r="D793" s="18"/>
      <c r="E793" s="18"/>
      <c r="F793" s="18"/>
      <c r="G793" s="18"/>
      <c r="H793" s="58"/>
      <c r="I793" s="21"/>
      <c r="J793" s="22"/>
    </row>
    <row r="794" spans="1:10" ht="13.2" x14ac:dyDescent="0.25">
      <c r="A794" s="17"/>
      <c r="B794" s="17"/>
      <c r="D794" s="18"/>
      <c r="E794" s="18"/>
      <c r="F794" s="18"/>
      <c r="G794" s="18"/>
      <c r="H794" s="58"/>
      <c r="I794" s="21"/>
      <c r="J794" s="22"/>
    </row>
    <row r="795" spans="1:10" ht="13.2" x14ac:dyDescent="0.25">
      <c r="A795" s="17"/>
      <c r="B795" s="17"/>
      <c r="D795" s="18"/>
      <c r="E795" s="18"/>
      <c r="F795" s="18"/>
      <c r="G795" s="18"/>
      <c r="H795" s="58"/>
      <c r="I795" s="21"/>
      <c r="J795" s="22"/>
    </row>
    <row r="796" spans="1:10" ht="13.2" x14ac:dyDescent="0.25">
      <c r="A796" s="17"/>
      <c r="B796" s="17"/>
      <c r="D796" s="18"/>
      <c r="E796" s="18"/>
      <c r="F796" s="18"/>
      <c r="G796" s="18"/>
      <c r="H796" s="58"/>
      <c r="I796" s="21"/>
      <c r="J796" s="22"/>
    </row>
    <row r="797" spans="1:10" ht="13.2" x14ac:dyDescent="0.25">
      <c r="A797" s="17"/>
      <c r="B797" s="17"/>
      <c r="D797" s="18"/>
      <c r="E797" s="18"/>
      <c r="F797" s="18"/>
      <c r="G797" s="18"/>
      <c r="H797" s="58"/>
      <c r="I797" s="21"/>
      <c r="J797" s="22"/>
    </row>
    <row r="798" spans="1:10" ht="13.2" x14ac:dyDescent="0.25">
      <c r="A798" s="17"/>
      <c r="B798" s="17"/>
      <c r="D798" s="18"/>
      <c r="E798" s="18"/>
      <c r="F798" s="18"/>
      <c r="G798" s="18"/>
      <c r="H798" s="58"/>
      <c r="I798" s="21"/>
      <c r="J798" s="22"/>
    </row>
    <row r="799" spans="1:10" ht="13.2" x14ac:dyDescent="0.25">
      <c r="A799" s="17"/>
      <c r="B799" s="17"/>
      <c r="D799" s="18"/>
      <c r="E799" s="18"/>
      <c r="F799" s="18"/>
      <c r="G799" s="18"/>
      <c r="H799" s="58"/>
      <c r="I799" s="21"/>
      <c r="J799" s="22"/>
    </row>
    <row r="800" spans="1:10" ht="13.2" x14ac:dyDescent="0.25">
      <c r="A800" s="17"/>
      <c r="B800" s="17"/>
      <c r="D800" s="18"/>
      <c r="E800" s="18"/>
      <c r="F800" s="18"/>
      <c r="G800" s="18"/>
      <c r="H800" s="58"/>
      <c r="I800" s="21"/>
      <c r="J800" s="22"/>
    </row>
    <row r="801" spans="1:10" ht="13.2" x14ac:dyDescent="0.25">
      <c r="A801" s="17"/>
      <c r="B801" s="17"/>
      <c r="D801" s="18"/>
      <c r="E801" s="18"/>
      <c r="F801" s="18"/>
      <c r="G801" s="18"/>
      <c r="H801" s="58"/>
      <c r="I801" s="21"/>
      <c r="J801" s="22"/>
    </row>
    <row r="802" spans="1:10" ht="13.2" x14ac:dyDescent="0.25">
      <c r="A802" s="17"/>
      <c r="B802" s="17"/>
      <c r="D802" s="18"/>
      <c r="E802" s="18"/>
      <c r="F802" s="18"/>
      <c r="G802" s="18"/>
      <c r="H802" s="58"/>
      <c r="I802" s="21"/>
      <c r="J802" s="22"/>
    </row>
    <row r="803" spans="1:10" ht="13.2" x14ac:dyDescent="0.25">
      <c r="A803" s="17"/>
      <c r="B803" s="17"/>
      <c r="D803" s="18"/>
      <c r="E803" s="18"/>
      <c r="F803" s="18"/>
      <c r="G803" s="18"/>
      <c r="H803" s="58"/>
      <c r="I803" s="21"/>
      <c r="J803" s="22"/>
    </row>
    <row r="804" spans="1:10" ht="13.2" x14ac:dyDescent="0.25">
      <c r="A804" s="17"/>
      <c r="B804" s="17"/>
      <c r="D804" s="18"/>
      <c r="E804" s="18"/>
      <c r="F804" s="18"/>
      <c r="G804" s="18"/>
      <c r="H804" s="58"/>
      <c r="I804" s="21"/>
      <c r="J804" s="22"/>
    </row>
    <row r="805" spans="1:10" ht="13.2" x14ac:dyDescent="0.25">
      <c r="A805" s="17"/>
      <c r="B805" s="17"/>
      <c r="D805" s="18"/>
      <c r="E805" s="18"/>
      <c r="F805" s="18"/>
      <c r="G805" s="18"/>
      <c r="H805" s="58"/>
      <c r="I805" s="21"/>
      <c r="J805" s="22"/>
    </row>
    <row r="806" spans="1:10" ht="13.2" x14ac:dyDescent="0.25">
      <c r="A806" s="17"/>
      <c r="B806" s="17"/>
      <c r="D806" s="18"/>
      <c r="E806" s="18"/>
      <c r="F806" s="18"/>
      <c r="G806" s="18"/>
      <c r="H806" s="58"/>
      <c r="I806" s="21"/>
      <c r="J806" s="22"/>
    </row>
    <row r="807" spans="1:10" ht="13.2" x14ac:dyDescent="0.25">
      <c r="A807" s="17"/>
      <c r="B807" s="17"/>
      <c r="D807" s="18"/>
      <c r="E807" s="18"/>
      <c r="F807" s="18"/>
      <c r="G807" s="18"/>
      <c r="H807" s="58"/>
      <c r="I807" s="21"/>
      <c r="J807" s="22"/>
    </row>
    <row r="808" spans="1:10" ht="13.2" x14ac:dyDescent="0.25">
      <c r="A808" s="17"/>
      <c r="B808" s="17"/>
      <c r="D808" s="18"/>
      <c r="E808" s="18"/>
      <c r="F808" s="18"/>
      <c r="G808" s="18"/>
      <c r="H808" s="58"/>
      <c r="I808" s="21"/>
      <c r="J808" s="22"/>
    </row>
    <row r="809" spans="1:10" ht="13.2" x14ac:dyDescent="0.25">
      <c r="A809" s="17"/>
      <c r="B809" s="17"/>
      <c r="D809" s="18"/>
      <c r="E809" s="18"/>
      <c r="F809" s="18"/>
      <c r="G809" s="18"/>
      <c r="H809" s="58"/>
      <c r="I809" s="21"/>
      <c r="J809" s="22"/>
    </row>
    <row r="810" spans="1:10" ht="13.2" x14ac:dyDescent="0.25">
      <c r="A810" s="17"/>
      <c r="B810" s="17"/>
      <c r="D810" s="18"/>
      <c r="E810" s="18"/>
      <c r="F810" s="18"/>
      <c r="G810" s="18"/>
      <c r="H810" s="58"/>
      <c r="I810" s="21"/>
      <c r="J810" s="22"/>
    </row>
    <row r="811" spans="1:10" ht="13.2" x14ac:dyDescent="0.25">
      <c r="A811" s="17"/>
      <c r="B811" s="17"/>
      <c r="D811" s="18"/>
      <c r="E811" s="18"/>
      <c r="F811" s="18"/>
      <c r="G811" s="18"/>
      <c r="H811" s="58"/>
      <c r="I811" s="21"/>
      <c r="J811" s="22"/>
    </row>
    <row r="812" spans="1:10" ht="13.2" x14ac:dyDescent="0.25">
      <c r="A812" s="17"/>
      <c r="B812" s="17"/>
      <c r="D812" s="18"/>
      <c r="E812" s="18"/>
      <c r="F812" s="18"/>
      <c r="G812" s="18"/>
      <c r="H812" s="58"/>
      <c r="I812" s="21"/>
      <c r="J812" s="22"/>
    </row>
    <row r="813" spans="1:10" ht="13.2" x14ac:dyDescent="0.25">
      <c r="A813" s="17"/>
      <c r="B813" s="17"/>
      <c r="D813" s="18"/>
      <c r="E813" s="18"/>
      <c r="F813" s="18"/>
      <c r="G813" s="18"/>
      <c r="H813" s="58"/>
      <c r="I813" s="21"/>
      <c r="J813" s="22"/>
    </row>
    <row r="814" spans="1:10" ht="13.2" x14ac:dyDescent="0.25">
      <c r="A814" s="17"/>
      <c r="B814" s="17"/>
      <c r="D814" s="18"/>
      <c r="E814" s="18"/>
      <c r="F814" s="18"/>
      <c r="G814" s="18"/>
      <c r="H814" s="58"/>
      <c r="I814" s="21"/>
      <c r="J814" s="22"/>
    </row>
    <row r="815" spans="1:10" ht="13.2" x14ac:dyDescent="0.25">
      <c r="A815" s="17"/>
      <c r="B815" s="17"/>
      <c r="D815" s="18"/>
      <c r="E815" s="18"/>
      <c r="F815" s="18"/>
      <c r="G815" s="18"/>
      <c r="H815" s="58"/>
      <c r="I815" s="21"/>
      <c r="J815" s="22"/>
    </row>
    <row r="816" spans="1:10" ht="13.2" x14ac:dyDescent="0.25">
      <c r="A816" s="17"/>
      <c r="B816" s="17"/>
      <c r="D816" s="18"/>
      <c r="E816" s="18"/>
      <c r="F816" s="18"/>
      <c r="G816" s="18"/>
      <c r="H816" s="58"/>
      <c r="I816" s="21"/>
      <c r="J816" s="22"/>
    </row>
    <row r="817" spans="1:10" ht="13.2" x14ac:dyDescent="0.25">
      <c r="A817" s="17"/>
      <c r="B817" s="17"/>
      <c r="D817" s="18"/>
      <c r="E817" s="18"/>
      <c r="F817" s="18"/>
      <c r="G817" s="18"/>
      <c r="H817" s="58"/>
      <c r="I817" s="21"/>
      <c r="J817" s="22"/>
    </row>
    <row r="818" spans="1:10" ht="13.2" x14ac:dyDescent="0.25">
      <c r="A818" s="17"/>
      <c r="B818" s="17"/>
      <c r="D818" s="18"/>
      <c r="E818" s="18"/>
      <c r="F818" s="18"/>
      <c r="G818" s="18"/>
      <c r="H818" s="58"/>
      <c r="I818" s="21"/>
      <c r="J818" s="22"/>
    </row>
    <row r="819" spans="1:10" ht="13.2" x14ac:dyDescent="0.25">
      <c r="A819" s="17"/>
      <c r="B819" s="17"/>
      <c r="D819" s="18"/>
      <c r="E819" s="18"/>
      <c r="F819" s="18"/>
      <c r="G819" s="18"/>
      <c r="H819" s="58"/>
      <c r="I819" s="21"/>
      <c r="J819" s="22"/>
    </row>
    <row r="820" spans="1:10" ht="13.2" x14ac:dyDescent="0.25">
      <c r="A820" s="17"/>
      <c r="B820" s="17"/>
      <c r="D820" s="18"/>
      <c r="E820" s="18"/>
      <c r="F820" s="18"/>
      <c r="G820" s="18"/>
      <c r="H820" s="58"/>
      <c r="I820" s="21"/>
      <c r="J820" s="22"/>
    </row>
    <row r="821" spans="1:10" ht="13.2" x14ac:dyDescent="0.25">
      <c r="A821" s="17"/>
      <c r="B821" s="17"/>
      <c r="D821" s="18"/>
      <c r="E821" s="18"/>
      <c r="F821" s="18"/>
      <c r="G821" s="18"/>
      <c r="H821" s="58"/>
      <c r="I821" s="21"/>
      <c r="J821" s="22"/>
    </row>
    <row r="822" spans="1:10" ht="13.2" x14ac:dyDescent="0.25">
      <c r="A822" s="17"/>
      <c r="B822" s="17"/>
      <c r="D822" s="18"/>
      <c r="E822" s="18"/>
      <c r="F822" s="18"/>
      <c r="G822" s="18"/>
      <c r="H822" s="58"/>
      <c r="I822" s="21"/>
      <c r="J822" s="22"/>
    </row>
    <row r="823" spans="1:10" ht="13.2" x14ac:dyDescent="0.25">
      <c r="A823" s="17"/>
      <c r="B823" s="17"/>
      <c r="D823" s="18"/>
      <c r="E823" s="18"/>
      <c r="F823" s="18"/>
      <c r="G823" s="18"/>
      <c r="H823" s="58"/>
      <c r="I823" s="21"/>
      <c r="J823" s="22"/>
    </row>
    <row r="824" spans="1:10" ht="13.2" x14ac:dyDescent="0.25">
      <c r="A824" s="17"/>
      <c r="B824" s="17"/>
      <c r="D824" s="18"/>
      <c r="E824" s="18"/>
      <c r="F824" s="18"/>
      <c r="G824" s="18"/>
      <c r="H824" s="58"/>
      <c r="I824" s="21"/>
      <c r="J824" s="22"/>
    </row>
    <row r="825" spans="1:10" ht="13.2" x14ac:dyDescent="0.25">
      <c r="A825" s="17"/>
      <c r="B825" s="17"/>
      <c r="D825" s="18"/>
      <c r="E825" s="18"/>
      <c r="F825" s="18"/>
      <c r="G825" s="18"/>
      <c r="H825" s="58"/>
      <c r="I825" s="21"/>
      <c r="J825" s="22"/>
    </row>
    <row r="826" spans="1:10" ht="13.2" x14ac:dyDescent="0.25">
      <c r="A826" s="17"/>
      <c r="B826" s="17"/>
      <c r="D826" s="18"/>
      <c r="E826" s="18"/>
      <c r="F826" s="18"/>
      <c r="G826" s="18"/>
      <c r="H826" s="58"/>
      <c r="I826" s="21"/>
      <c r="J826" s="22"/>
    </row>
    <row r="827" spans="1:10" ht="13.2" x14ac:dyDescent="0.25">
      <c r="A827" s="17"/>
      <c r="B827" s="17"/>
      <c r="D827" s="18"/>
      <c r="E827" s="18"/>
      <c r="F827" s="18"/>
      <c r="G827" s="18"/>
      <c r="H827" s="58"/>
      <c r="I827" s="21"/>
      <c r="J827" s="22"/>
    </row>
    <row r="828" spans="1:10" ht="13.2" x14ac:dyDescent="0.25">
      <c r="A828" s="17"/>
      <c r="B828" s="17"/>
      <c r="D828" s="18"/>
      <c r="E828" s="18"/>
      <c r="F828" s="18"/>
      <c r="G828" s="18"/>
      <c r="H828" s="58"/>
      <c r="I828" s="21"/>
      <c r="J828" s="22"/>
    </row>
    <row r="829" spans="1:10" ht="13.2" x14ac:dyDescent="0.25">
      <c r="A829" s="17"/>
      <c r="B829" s="17"/>
      <c r="D829" s="18"/>
      <c r="E829" s="18"/>
      <c r="F829" s="18"/>
      <c r="G829" s="18"/>
      <c r="H829" s="58"/>
      <c r="I829" s="21"/>
      <c r="J829" s="22"/>
    </row>
    <row r="830" spans="1:10" ht="13.2" x14ac:dyDescent="0.25">
      <c r="A830" s="17"/>
      <c r="B830" s="17"/>
      <c r="D830" s="18"/>
      <c r="E830" s="18"/>
      <c r="F830" s="18"/>
      <c r="G830" s="18"/>
      <c r="H830" s="58"/>
      <c r="I830" s="21"/>
      <c r="J830" s="22"/>
    </row>
    <row r="831" spans="1:10" ht="13.2" x14ac:dyDescent="0.25">
      <c r="A831" s="17"/>
      <c r="B831" s="17"/>
      <c r="D831" s="18"/>
      <c r="E831" s="18"/>
      <c r="F831" s="18"/>
      <c r="G831" s="18"/>
      <c r="H831" s="58"/>
      <c r="I831" s="21"/>
      <c r="J831" s="22"/>
    </row>
    <row r="832" spans="1:10" ht="13.2" x14ac:dyDescent="0.25">
      <c r="A832" s="17"/>
      <c r="B832" s="17"/>
      <c r="D832" s="18"/>
      <c r="E832" s="18"/>
      <c r="F832" s="18"/>
      <c r="G832" s="18"/>
      <c r="H832" s="58"/>
      <c r="I832" s="21"/>
      <c r="J832" s="22"/>
    </row>
    <row r="833" spans="1:10" ht="13.2" x14ac:dyDescent="0.25">
      <c r="A833" s="17"/>
      <c r="B833" s="17"/>
      <c r="D833" s="18"/>
      <c r="E833" s="18"/>
      <c r="F833" s="18"/>
      <c r="G833" s="18"/>
      <c r="H833" s="58"/>
      <c r="I833" s="21"/>
      <c r="J833" s="22"/>
    </row>
    <row r="834" spans="1:10" ht="13.2" x14ac:dyDescent="0.25">
      <c r="A834" s="17"/>
      <c r="B834" s="17"/>
      <c r="D834" s="18"/>
      <c r="E834" s="18"/>
      <c r="F834" s="18"/>
      <c r="G834" s="18"/>
      <c r="H834" s="58"/>
      <c r="I834" s="21"/>
      <c r="J834" s="22"/>
    </row>
    <row r="835" spans="1:10" ht="13.2" x14ac:dyDescent="0.25">
      <c r="A835" s="17"/>
      <c r="B835" s="17"/>
      <c r="D835" s="18"/>
      <c r="E835" s="18"/>
      <c r="F835" s="18"/>
      <c r="G835" s="18"/>
      <c r="H835" s="58"/>
      <c r="I835" s="21"/>
      <c r="J835" s="22"/>
    </row>
    <row r="836" spans="1:10" ht="13.2" x14ac:dyDescent="0.25">
      <c r="A836" s="17"/>
      <c r="B836" s="17"/>
      <c r="D836" s="18"/>
      <c r="E836" s="18"/>
      <c r="F836" s="18"/>
      <c r="G836" s="18"/>
      <c r="H836" s="58"/>
      <c r="I836" s="21"/>
      <c r="J836" s="22"/>
    </row>
    <row r="837" spans="1:10" ht="13.2" x14ac:dyDescent="0.25">
      <c r="A837" s="17"/>
      <c r="B837" s="17"/>
      <c r="D837" s="18"/>
      <c r="E837" s="18"/>
      <c r="F837" s="18"/>
      <c r="G837" s="18"/>
      <c r="H837" s="58"/>
      <c r="I837" s="21"/>
      <c r="J837" s="22"/>
    </row>
    <row r="838" spans="1:10" ht="13.2" x14ac:dyDescent="0.25">
      <c r="A838" s="17"/>
      <c r="B838" s="17"/>
      <c r="D838" s="18"/>
      <c r="E838" s="18"/>
      <c r="F838" s="18"/>
      <c r="G838" s="18"/>
      <c r="H838" s="58"/>
      <c r="I838" s="21"/>
      <c r="J838" s="22"/>
    </row>
    <row r="839" spans="1:10" ht="13.2" x14ac:dyDescent="0.25">
      <c r="A839" s="17"/>
      <c r="B839" s="17"/>
      <c r="D839" s="18"/>
      <c r="E839" s="18"/>
      <c r="F839" s="18"/>
      <c r="G839" s="18"/>
      <c r="H839" s="58"/>
      <c r="I839" s="21"/>
      <c r="J839" s="22"/>
    </row>
    <row r="840" spans="1:10" ht="13.2" x14ac:dyDescent="0.25">
      <c r="A840" s="17"/>
      <c r="B840" s="17"/>
      <c r="D840" s="18"/>
      <c r="E840" s="18"/>
      <c r="F840" s="18"/>
      <c r="G840" s="18"/>
      <c r="H840" s="58"/>
      <c r="I840" s="21"/>
      <c r="J840" s="22"/>
    </row>
    <row r="841" spans="1:10" ht="13.2" x14ac:dyDescent="0.25">
      <c r="A841" s="17"/>
      <c r="B841" s="17"/>
      <c r="D841" s="18"/>
      <c r="E841" s="18"/>
      <c r="F841" s="18"/>
      <c r="G841" s="18"/>
      <c r="H841" s="58"/>
      <c r="I841" s="21"/>
      <c r="J841" s="22"/>
    </row>
    <row r="842" spans="1:10" ht="13.2" x14ac:dyDescent="0.25">
      <c r="A842" s="17"/>
      <c r="B842" s="17"/>
      <c r="D842" s="18"/>
      <c r="E842" s="18"/>
      <c r="F842" s="18"/>
      <c r="G842" s="18"/>
      <c r="H842" s="58"/>
      <c r="I842" s="21"/>
      <c r="J842" s="22"/>
    </row>
    <row r="843" spans="1:10" ht="13.2" x14ac:dyDescent="0.25">
      <c r="A843" s="17"/>
      <c r="B843" s="17"/>
      <c r="D843" s="18"/>
      <c r="E843" s="18"/>
      <c r="F843" s="18"/>
      <c r="G843" s="18"/>
      <c r="H843" s="58"/>
      <c r="I843" s="21"/>
      <c r="J843" s="22"/>
    </row>
    <row r="844" spans="1:10" ht="13.2" x14ac:dyDescent="0.25">
      <c r="A844" s="17"/>
      <c r="B844" s="17"/>
      <c r="D844" s="18"/>
      <c r="E844" s="18"/>
      <c r="F844" s="18"/>
      <c r="G844" s="18"/>
      <c r="H844" s="58"/>
      <c r="I844" s="21"/>
      <c r="J844" s="22"/>
    </row>
    <row r="845" spans="1:10" ht="13.2" x14ac:dyDescent="0.25">
      <c r="A845" s="17"/>
      <c r="B845" s="17"/>
      <c r="D845" s="18"/>
      <c r="E845" s="18"/>
      <c r="F845" s="18"/>
      <c r="G845" s="18"/>
      <c r="H845" s="58"/>
      <c r="I845" s="21"/>
      <c r="J845" s="22"/>
    </row>
    <row r="846" spans="1:10" ht="13.2" x14ac:dyDescent="0.25">
      <c r="A846" s="17"/>
      <c r="B846" s="17"/>
      <c r="D846" s="18"/>
      <c r="E846" s="18"/>
      <c r="F846" s="18"/>
      <c r="G846" s="18"/>
      <c r="H846" s="58"/>
      <c r="I846" s="21"/>
      <c r="J846" s="22"/>
    </row>
    <row r="847" spans="1:10" ht="13.2" x14ac:dyDescent="0.25">
      <c r="A847" s="17"/>
      <c r="B847" s="17"/>
      <c r="D847" s="18"/>
      <c r="E847" s="18"/>
      <c r="F847" s="18"/>
      <c r="G847" s="18"/>
      <c r="H847" s="58"/>
      <c r="I847" s="21"/>
      <c r="J847" s="22"/>
    </row>
    <row r="848" spans="1:10" ht="13.2" x14ac:dyDescent="0.25">
      <c r="A848" s="17"/>
      <c r="B848" s="17"/>
      <c r="D848" s="18"/>
      <c r="E848" s="18"/>
      <c r="F848" s="18"/>
      <c r="G848" s="18"/>
      <c r="H848" s="58"/>
      <c r="I848" s="21"/>
      <c r="J848" s="22"/>
    </row>
    <row r="849" spans="1:10" ht="13.2" x14ac:dyDescent="0.25">
      <c r="A849" s="17"/>
      <c r="B849" s="17"/>
      <c r="D849" s="18"/>
      <c r="E849" s="18"/>
      <c r="F849" s="18"/>
      <c r="G849" s="18"/>
      <c r="H849" s="58"/>
      <c r="I849" s="21"/>
      <c r="J849" s="22"/>
    </row>
    <row r="850" spans="1:10" ht="13.2" x14ac:dyDescent="0.25">
      <c r="A850" s="17"/>
      <c r="B850" s="17"/>
      <c r="D850" s="18"/>
      <c r="E850" s="18"/>
      <c r="F850" s="18"/>
      <c r="G850" s="18"/>
      <c r="H850" s="58"/>
      <c r="I850" s="21"/>
      <c r="J850" s="22"/>
    </row>
    <row r="851" spans="1:10" ht="13.2" x14ac:dyDescent="0.25">
      <c r="A851" s="17"/>
      <c r="B851" s="17"/>
      <c r="D851" s="18"/>
      <c r="E851" s="18"/>
      <c r="F851" s="18"/>
      <c r="G851" s="18"/>
      <c r="H851" s="58"/>
      <c r="I851" s="21"/>
      <c r="J851" s="22"/>
    </row>
    <row r="852" spans="1:10" ht="13.2" x14ac:dyDescent="0.25">
      <c r="A852" s="17"/>
      <c r="B852" s="17"/>
      <c r="D852" s="18"/>
      <c r="E852" s="18"/>
      <c r="F852" s="18"/>
      <c r="G852" s="18"/>
      <c r="H852" s="58"/>
      <c r="I852" s="21"/>
      <c r="J852" s="22"/>
    </row>
    <row r="853" spans="1:10" ht="13.2" x14ac:dyDescent="0.25">
      <c r="A853" s="17"/>
      <c r="B853" s="17"/>
      <c r="D853" s="18"/>
      <c r="E853" s="18"/>
      <c r="F853" s="18"/>
      <c r="G853" s="18"/>
      <c r="H853" s="58"/>
      <c r="I853" s="21"/>
      <c r="J853" s="22"/>
    </row>
    <row r="854" spans="1:10" ht="13.2" x14ac:dyDescent="0.25">
      <c r="A854" s="17"/>
      <c r="B854" s="17"/>
      <c r="D854" s="18"/>
      <c r="E854" s="18"/>
      <c r="F854" s="18"/>
      <c r="G854" s="18"/>
      <c r="H854" s="58"/>
      <c r="I854" s="21"/>
      <c r="J854" s="22"/>
    </row>
    <row r="855" spans="1:10" ht="13.2" x14ac:dyDescent="0.25">
      <c r="A855" s="17"/>
      <c r="B855" s="17"/>
      <c r="D855" s="18"/>
      <c r="E855" s="18"/>
      <c r="F855" s="18"/>
      <c r="G855" s="18"/>
      <c r="H855" s="58"/>
      <c r="I855" s="21"/>
      <c r="J855" s="22"/>
    </row>
    <row r="856" spans="1:10" ht="13.2" x14ac:dyDescent="0.25">
      <c r="A856" s="17"/>
      <c r="B856" s="17"/>
      <c r="D856" s="18"/>
      <c r="E856" s="18"/>
      <c r="F856" s="18"/>
      <c r="G856" s="18"/>
      <c r="H856" s="58"/>
      <c r="I856" s="21"/>
      <c r="J856" s="22"/>
    </row>
    <row r="857" spans="1:10" ht="13.2" x14ac:dyDescent="0.25">
      <c r="A857" s="17"/>
      <c r="B857" s="17"/>
      <c r="D857" s="18"/>
      <c r="E857" s="18"/>
      <c r="F857" s="18"/>
      <c r="G857" s="18"/>
      <c r="H857" s="58"/>
      <c r="I857" s="21"/>
      <c r="J857" s="22"/>
    </row>
    <row r="858" spans="1:10" ht="13.2" x14ac:dyDescent="0.25">
      <c r="A858" s="17"/>
      <c r="B858" s="17"/>
      <c r="D858" s="18"/>
      <c r="E858" s="18"/>
      <c r="F858" s="18"/>
      <c r="G858" s="18"/>
      <c r="H858" s="58"/>
      <c r="I858" s="21"/>
      <c r="J858" s="22"/>
    </row>
    <row r="859" spans="1:10" ht="13.2" x14ac:dyDescent="0.25">
      <c r="A859" s="17"/>
      <c r="B859" s="17"/>
      <c r="D859" s="18"/>
      <c r="E859" s="18"/>
      <c r="F859" s="18"/>
      <c r="G859" s="18"/>
      <c r="H859" s="58"/>
      <c r="I859" s="21"/>
      <c r="J859" s="22"/>
    </row>
    <row r="860" spans="1:10" ht="13.2" x14ac:dyDescent="0.25">
      <c r="A860" s="17"/>
      <c r="B860" s="17"/>
      <c r="D860" s="18"/>
      <c r="E860" s="18"/>
      <c r="F860" s="18"/>
      <c r="G860" s="18"/>
      <c r="H860" s="58"/>
      <c r="I860" s="21"/>
      <c r="J860" s="22"/>
    </row>
    <row r="861" spans="1:10" ht="13.2" x14ac:dyDescent="0.25">
      <c r="A861" s="17"/>
      <c r="B861" s="17"/>
      <c r="D861" s="18"/>
      <c r="E861" s="18"/>
      <c r="F861" s="18"/>
      <c r="G861" s="18"/>
      <c r="H861" s="58"/>
      <c r="I861" s="21"/>
      <c r="J861" s="22"/>
    </row>
    <row r="862" spans="1:10" ht="13.2" x14ac:dyDescent="0.25">
      <c r="A862" s="17"/>
      <c r="B862" s="17"/>
      <c r="D862" s="18"/>
      <c r="E862" s="18"/>
      <c r="F862" s="18"/>
      <c r="G862" s="18"/>
      <c r="H862" s="58"/>
      <c r="I862" s="21"/>
      <c r="J862" s="22"/>
    </row>
    <row r="863" spans="1:10" ht="13.2" x14ac:dyDescent="0.25">
      <c r="A863" s="17"/>
      <c r="B863" s="17"/>
      <c r="D863" s="18"/>
      <c r="E863" s="18"/>
      <c r="F863" s="18"/>
      <c r="G863" s="18"/>
      <c r="H863" s="58"/>
      <c r="I863" s="21"/>
      <c r="J863" s="22"/>
    </row>
    <row r="864" spans="1:10" ht="13.2" x14ac:dyDescent="0.25">
      <c r="A864" s="17"/>
      <c r="B864" s="17"/>
      <c r="D864" s="18"/>
      <c r="E864" s="18"/>
      <c r="F864" s="18"/>
      <c r="G864" s="18"/>
      <c r="H864" s="58"/>
      <c r="I864" s="21"/>
      <c r="J864" s="22"/>
    </row>
    <row r="865" spans="1:10" ht="13.2" x14ac:dyDescent="0.25">
      <c r="A865" s="17"/>
      <c r="B865" s="17"/>
      <c r="D865" s="18"/>
      <c r="E865" s="18"/>
      <c r="F865" s="18"/>
      <c r="G865" s="18"/>
      <c r="H865" s="58"/>
      <c r="I865" s="21"/>
      <c r="J865" s="22"/>
    </row>
    <row r="866" spans="1:10" ht="13.2" x14ac:dyDescent="0.25">
      <c r="A866" s="17"/>
      <c r="B866" s="17"/>
      <c r="D866" s="18"/>
      <c r="E866" s="18"/>
      <c r="F866" s="18"/>
      <c r="G866" s="18"/>
      <c r="H866" s="58"/>
      <c r="I866" s="21"/>
      <c r="J866" s="22"/>
    </row>
    <row r="867" spans="1:10" ht="13.2" x14ac:dyDescent="0.25">
      <c r="A867" s="17"/>
      <c r="B867" s="17"/>
      <c r="D867" s="18"/>
      <c r="E867" s="18"/>
      <c r="F867" s="18"/>
      <c r="G867" s="18"/>
      <c r="H867" s="58"/>
      <c r="I867" s="21"/>
      <c r="J867" s="22"/>
    </row>
    <row r="868" spans="1:10" ht="13.2" x14ac:dyDescent="0.25">
      <c r="A868" s="17"/>
      <c r="B868" s="17"/>
      <c r="D868" s="18"/>
      <c r="E868" s="18"/>
      <c r="F868" s="18"/>
      <c r="G868" s="18"/>
      <c r="H868" s="58"/>
      <c r="I868" s="21"/>
      <c r="J868" s="22"/>
    </row>
    <row r="869" spans="1:10" ht="13.2" x14ac:dyDescent="0.25">
      <c r="A869" s="17"/>
      <c r="B869" s="17"/>
      <c r="D869" s="18"/>
      <c r="E869" s="18"/>
      <c r="F869" s="18"/>
      <c r="G869" s="18"/>
      <c r="H869" s="58"/>
      <c r="I869" s="21"/>
      <c r="J869" s="22"/>
    </row>
    <row r="870" spans="1:10" ht="13.2" x14ac:dyDescent="0.25">
      <c r="A870" s="17"/>
      <c r="B870" s="17"/>
      <c r="D870" s="18"/>
      <c r="E870" s="18"/>
      <c r="F870" s="18"/>
      <c r="G870" s="18"/>
      <c r="H870" s="58"/>
      <c r="I870" s="21"/>
      <c r="J870" s="22"/>
    </row>
    <row r="871" spans="1:10" ht="13.2" x14ac:dyDescent="0.25">
      <c r="A871" s="17"/>
      <c r="B871" s="17"/>
      <c r="D871" s="18"/>
      <c r="E871" s="18"/>
      <c r="F871" s="18"/>
      <c r="G871" s="18"/>
      <c r="H871" s="58"/>
      <c r="I871" s="21"/>
      <c r="J871" s="22"/>
    </row>
    <row r="872" spans="1:10" ht="13.2" x14ac:dyDescent="0.25">
      <c r="A872" s="17"/>
      <c r="B872" s="17"/>
      <c r="D872" s="18"/>
      <c r="E872" s="18"/>
      <c r="F872" s="18"/>
      <c r="G872" s="18"/>
      <c r="H872" s="58"/>
      <c r="I872" s="21"/>
      <c r="J872" s="22"/>
    </row>
    <row r="873" spans="1:10" ht="13.2" x14ac:dyDescent="0.25">
      <c r="A873" s="17"/>
      <c r="B873" s="17"/>
      <c r="D873" s="18"/>
      <c r="E873" s="18"/>
      <c r="F873" s="18"/>
      <c r="G873" s="18"/>
      <c r="H873" s="58"/>
      <c r="I873" s="21"/>
      <c r="J873" s="22"/>
    </row>
    <row r="874" spans="1:10" ht="13.2" x14ac:dyDescent="0.25">
      <c r="A874" s="17"/>
      <c r="B874" s="17"/>
      <c r="D874" s="18"/>
      <c r="E874" s="18"/>
      <c r="F874" s="18"/>
      <c r="G874" s="18"/>
      <c r="H874" s="58"/>
      <c r="I874" s="21"/>
      <c r="J874" s="22"/>
    </row>
    <row r="875" spans="1:10" ht="13.2" x14ac:dyDescent="0.25">
      <c r="A875" s="17"/>
      <c r="B875" s="17"/>
      <c r="D875" s="18"/>
      <c r="E875" s="18"/>
      <c r="F875" s="18"/>
      <c r="G875" s="18"/>
      <c r="H875" s="58"/>
      <c r="I875" s="21"/>
      <c r="J875" s="22"/>
    </row>
    <row r="876" spans="1:10" ht="13.2" x14ac:dyDescent="0.25">
      <c r="A876" s="17"/>
      <c r="B876" s="17"/>
      <c r="D876" s="18"/>
      <c r="E876" s="18"/>
      <c r="F876" s="18"/>
      <c r="G876" s="18"/>
      <c r="H876" s="58"/>
      <c r="I876" s="21"/>
      <c r="J876" s="22"/>
    </row>
    <row r="877" spans="1:10" ht="13.2" x14ac:dyDescent="0.25">
      <c r="A877" s="17"/>
      <c r="B877" s="17"/>
      <c r="D877" s="18"/>
      <c r="E877" s="18"/>
      <c r="F877" s="18"/>
      <c r="G877" s="18"/>
      <c r="H877" s="58"/>
      <c r="I877" s="21"/>
      <c r="J877" s="22"/>
    </row>
    <row r="878" spans="1:10" ht="13.2" x14ac:dyDescent="0.25">
      <c r="A878" s="17"/>
      <c r="B878" s="17"/>
      <c r="D878" s="18"/>
      <c r="E878" s="18"/>
      <c r="F878" s="18"/>
      <c r="G878" s="18"/>
      <c r="H878" s="58"/>
      <c r="I878" s="21"/>
      <c r="J878" s="22"/>
    </row>
    <row r="879" spans="1:10" ht="13.2" x14ac:dyDescent="0.25">
      <c r="A879" s="17"/>
      <c r="B879" s="17"/>
      <c r="D879" s="18"/>
      <c r="E879" s="18"/>
      <c r="F879" s="18"/>
      <c r="G879" s="18"/>
      <c r="H879" s="58"/>
      <c r="I879" s="21"/>
      <c r="J879" s="22"/>
    </row>
    <row r="880" spans="1:10" ht="13.2" x14ac:dyDescent="0.25">
      <c r="A880" s="17"/>
      <c r="B880" s="17"/>
      <c r="D880" s="18"/>
      <c r="E880" s="18"/>
      <c r="F880" s="18"/>
      <c r="G880" s="18"/>
      <c r="H880" s="58"/>
      <c r="I880" s="21"/>
      <c r="J880" s="22"/>
    </row>
    <row r="881" spans="1:10" ht="13.2" x14ac:dyDescent="0.25">
      <c r="A881" s="17"/>
      <c r="B881" s="17"/>
      <c r="D881" s="18"/>
      <c r="E881" s="18"/>
      <c r="F881" s="18"/>
      <c r="G881" s="18"/>
      <c r="H881" s="58"/>
      <c r="I881" s="21"/>
      <c r="J881" s="22"/>
    </row>
    <row r="882" spans="1:10" ht="13.2" x14ac:dyDescent="0.25">
      <c r="A882" s="17"/>
      <c r="B882" s="17"/>
      <c r="D882" s="18"/>
      <c r="E882" s="18"/>
      <c r="F882" s="18"/>
      <c r="G882" s="18"/>
      <c r="H882" s="58"/>
      <c r="I882" s="21"/>
      <c r="J882" s="22"/>
    </row>
    <row r="883" spans="1:10" ht="13.2" x14ac:dyDescent="0.25">
      <c r="A883" s="17"/>
      <c r="B883" s="17"/>
      <c r="D883" s="18"/>
      <c r="E883" s="18"/>
      <c r="F883" s="18"/>
      <c r="G883" s="18"/>
      <c r="H883" s="58"/>
      <c r="I883" s="21"/>
      <c r="J883" s="22"/>
    </row>
    <row r="884" spans="1:10" ht="13.2" x14ac:dyDescent="0.25">
      <c r="A884" s="17"/>
      <c r="B884" s="17"/>
      <c r="D884" s="18"/>
      <c r="E884" s="18"/>
      <c r="F884" s="18"/>
      <c r="G884" s="18"/>
      <c r="H884" s="58"/>
      <c r="I884" s="21"/>
      <c r="J884" s="22"/>
    </row>
    <row r="885" spans="1:10" ht="13.2" x14ac:dyDescent="0.25">
      <c r="A885" s="17"/>
      <c r="B885" s="17"/>
      <c r="D885" s="18"/>
      <c r="E885" s="18"/>
      <c r="F885" s="18"/>
      <c r="G885" s="18"/>
      <c r="H885" s="58"/>
      <c r="I885" s="21"/>
      <c r="J885" s="22"/>
    </row>
    <row r="886" spans="1:10" ht="13.2" x14ac:dyDescent="0.25">
      <c r="A886" s="17"/>
      <c r="B886" s="17"/>
      <c r="D886" s="18"/>
      <c r="E886" s="18"/>
      <c r="F886" s="18"/>
      <c r="G886" s="18"/>
      <c r="H886" s="58"/>
      <c r="I886" s="21"/>
      <c r="J886" s="22"/>
    </row>
    <row r="887" spans="1:10" ht="13.2" x14ac:dyDescent="0.25">
      <c r="A887" s="17"/>
      <c r="B887" s="17"/>
      <c r="D887" s="18"/>
      <c r="E887" s="18"/>
      <c r="F887" s="18"/>
      <c r="G887" s="18"/>
      <c r="H887" s="58"/>
      <c r="I887" s="21"/>
      <c r="J887" s="22"/>
    </row>
    <row r="888" spans="1:10" ht="13.2" x14ac:dyDescent="0.25">
      <c r="A888" s="17"/>
      <c r="B888" s="17"/>
      <c r="D888" s="18"/>
      <c r="E888" s="18"/>
      <c r="F888" s="18"/>
      <c r="G888" s="18"/>
      <c r="H888" s="58"/>
      <c r="I888" s="21"/>
      <c r="J888" s="22"/>
    </row>
    <row r="889" spans="1:10" ht="13.2" x14ac:dyDescent="0.25">
      <c r="A889" s="17"/>
      <c r="B889" s="17"/>
      <c r="D889" s="18"/>
      <c r="E889" s="18"/>
      <c r="F889" s="18"/>
      <c r="G889" s="18"/>
      <c r="H889" s="58"/>
      <c r="I889" s="21"/>
      <c r="J889" s="22"/>
    </row>
    <row r="890" spans="1:10" ht="13.2" x14ac:dyDescent="0.25">
      <c r="A890" s="17"/>
      <c r="B890" s="17"/>
      <c r="D890" s="18"/>
      <c r="E890" s="18"/>
      <c r="F890" s="18"/>
      <c r="G890" s="18"/>
      <c r="H890" s="58"/>
      <c r="I890" s="21"/>
      <c r="J890" s="22"/>
    </row>
    <row r="891" spans="1:10" ht="13.2" x14ac:dyDescent="0.25">
      <c r="A891" s="17"/>
      <c r="B891" s="17"/>
      <c r="D891" s="18"/>
      <c r="E891" s="18"/>
      <c r="F891" s="18"/>
      <c r="G891" s="18"/>
      <c r="H891" s="58"/>
      <c r="I891" s="21"/>
      <c r="J891" s="22"/>
    </row>
    <row r="892" spans="1:10" ht="13.2" x14ac:dyDescent="0.25">
      <c r="A892" s="17"/>
      <c r="B892" s="17"/>
      <c r="D892" s="18"/>
      <c r="E892" s="18"/>
      <c r="F892" s="18"/>
      <c r="G892" s="18"/>
      <c r="H892" s="58"/>
      <c r="I892" s="21"/>
      <c r="J892" s="22"/>
    </row>
    <row r="893" spans="1:10" ht="13.2" x14ac:dyDescent="0.25">
      <c r="A893" s="17"/>
      <c r="B893" s="17"/>
      <c r="D893" s="18"/>
      <c r="E893" s="18"/>
      <c r="F893" s="18"/>
      <c r="G893" s="18"/>
      <c r="H893" s="58"/>
      <c r="I893" s="21"/>
      <c r="J893" s="22"/>
    </row>
    <row r="894" spans="1:10" ht="13.2" x14ac:dyDescent="0.25">
      <c r="A894" s="17"/>
      <c r="B894" s="17"/>
      <c r="D894" s="18"/>
      <c r="E894" s="18"/>
      <c r="F894" s="18"/>
      <c r="G894" s="18"/>
      <c r="H894" s="58"/>
      <c r="I894" s="21"/>
      <c r="J894" s="22"/>
    </row>
    <row r="895" spans="1:10" ht="13.2" x14ac:dyDescent="0.25">
      <c r="A895" s="17"/>
      <c r="B895" s="17"/>
      <c r="D895" s="18"/>
      <c r="E895" s="18"/>
      <c r="F895" s="18"/>
      <c r="G895" s="18"/>
      <c r="H895" s="58"/>
      <c r="I895" s="21"/>
      <c r="J895" s="22"/>
    </row>
    <row r="896" spans="1:10" ht="13.2" x14ac:dyDescent="0.25">
      <c r="A896" s="17"/>
      <c r="B896" s="17"/>
      <c r="D896" s="18"/>
      <c r="E896" s="18"/>
      <c r="F896" s="18"/>
      <c r="G896" s="18"/>
      <c r="H896" s="58"/>
      <c r="I896" s="21"/>
      <c r="J896" s="22"/>
    </row>
    <row r="897" spans="1:10" ht="13.2" x14ac:dyDescent="0.25">
      <c r="A897" s="17"/>
      <c r="B897" s="17"/>
      <c r="D897" s="18"/>
      <c r="E897" s="18"/>
      <c r="F897" s="18"/>
      <c r="G897" s="18"/>
      <c r="H897" s="58"/>
      <c r="I897" s="21"/>
      <c r="J897" s="22"/>
    </row>
    <row r="898" spans="1:10" ht="13.2" x14ac:dyDescent="0.25">
      <c r="A898" s="17"/>
      <c r="B898" s="17"/>
      <c r="D898" s="18"/>
      <c r="E898" s="18"/>
      <c r="F898" s="18"/>
      <c r="G898" s="18"/>
      <c r="H898" s="58"/>
      <c r="I898" s="21"/>
      <c r="J898" s="22"/>
    </row>
    <row r="899" spans="1:10" ht="13.2" x14ac:dyDescent="0.25">
      <c r="A899" s="17"/>
      <c r="B899" s="17"/>
      <c r="D899" s="18"/>
      <c r="E899" s="18"/>
      <c r="F899" s="18"/>
      <c r="G899" s="18"/>
      <c r="H899" s="58"/>
      <c r="I899" s="21"/>
      <c r="J899" s="22"/>
    </row>
    <row r="900" spans="1:10" ht="13.2" x14ac:dyDescent="0.25">
      <c r="A900" s="17"/>
      <c r="B900" s="17"/>
      <c r="D900" s="18"/>
      <c r="E900" s="18"/>
      <c r="F900" s="18"/>
      <c r="G900" s="18"/>
      <c r="H900" s="58"/>
      <c r="I900" s="21"/>
      <c r="J900" s="22"/>
    </row>
    <row r="901" spans="1:10" ht="13.2" x14ac:dyDescent="0.25">
      <c r="A901" s="17"/>
      <c r="B901" s="17"/>
      <c r="D901" s="18"/>
      <c r="E901" s="18"/>
      <c r="F901" s="18"/>
      <c r="G901" s="18"/>
      <c r="H901" s="58"/>
      <c r="I901" s="21"/>
      <c r="J901" s="22"/>
    </row>
    <row r="902" spans="1:10" ht="13.2" x14ac:dyDescent="0.25">
      <c r="A902" s="17"/>
      <c r="B902" s="17"/>
      <c r="D902" s="18"/>
      <c r="E902" s="18"/>
      <c r="F902" s="18"/>
      <c r="G902" s="18"/>
      <c r="H902" s="58"/>
      <c r="I902" s="21"/>
      <c r="J902" s="22"/>
    </row>
    <row r="903" spans="1:10" ht="13.2" x14ac:dyDescent="0.25">
      <c r="A903" s="17"/>
      <c r="B903" s="17"/>
      <c r="D903" s="18"/>
      <c r="E903" s="18"/>
      <c r="F903" s="18"/>
      <c r="G903" s="18"/>
      <c r="H903" s="58"/>
      <c r="I903" s="21"/>
      <c r="J903" s="22"/>
    </row>
    <row r="904" spans="1:10" ht="13.2" x14ac:dyDescent="0.25">
      <c r="A904" s="17"/>
      <c r="B904" s="17"/>
      <c r="D904" s="18"/>
      <c r="E904" s="18"/>
      <c r="F904" s="18"/>
      <c r="G904" s="18"/>
      <c r="H904" s="58"/>
      <c r="I904" s="21"/>
      <c r="J904" s="22"/>
    </row>
    <row r="905" spans="1:10" ht="13.2" x14ac:dyDescent="0.25">
      <c r="A905" s="17"/>
      <c r="B905" s="17"/>
      <c r="D905" s="18"/>
      <c r="E905" s="18"/>
      <c r="F905" s="18"/>
      <c r="G905" s="18"/>
      <c r="H905" s="58"/>
      <c r="I905" s="21"/>
      <c r="J905" s="22"/>
    </row>
    <row r="906" spans="1:10" ht="13.2" x14ac:dyDescent="0.25">
      <c r="A906" s="17"/>
      <c r="B906" s="17"/>
      <c r="D906" s="18"/>
      <c r="E906" s="18"/>
      <c r="F906" s="18"/>
      <c r="G906" s="18"/>
      <c r="H906" s="58"/>
      <c r="I906" s="21"/>
      <c r="J906" s="22"/>
    </row>
    <row r="907" spans="1:10" ht="13.2" x14ac:dyDescent="0.25">
      <c r="A907" s="17"/>
      <c r="B907" s="17"/>
      <c r="D907" s="18"/>
      <c r="E907" s="18"/>
      <c r="F907" s="18"/>
      <c r="G907" s="18"/>
      <c r="H907" s="58"/>
      <c r="I907" s="21"/>
      <c r="J907" s="22"/>
    </row>
    <row r="908" spans="1:10" ht="13.2" x14ac:dyDescent="0.25">
      <c r="A908" s="17"/>
      <c r="B908" s="17"/>
      <c r="D908" s="18"/>
      <c r="E908" s="18"/>
      <c r="F908" s="18"/>
      <c r="G908" s="18"/>
      <c r="H908" s="58"/>
      <c r="I908" s="21"/>
      <c r="J908" s="22"/>
    </row>
    <row r="909" spans="1:10" ht="13.2" x14ac:dyDescent="0.25">
      <c r="A909" s="17"/>
      <c r="B909" s="17"/>
      <c r="D909" s="18"/>
      <c r="E909" s="18"/>
      <c r="F909" s="18"/>
      <c r="G909" s="18"/>
      <c r="H909" s="58"/>
      <c r="I909" s="21"/>
      <c r="J909" s="22"/>
    </row>
    <row r="910" spans="1:10" ht="13.2" x14ac:dyDescent="0.25">
      <c r="A910" s="17"/>
      <c r="B910" s="17"/>
      <c r="D910" s="18"/>
      <c r="E910" s="18"/>
      <c r="F910" s="18"/>
      <c r="G910" s="18"/>
      <c r="H910" s="58"/>
      <c r="I910" s="21"/>
      <c r="J910" s="22"/>
    </row>
    <row r="911" spans="1:10" ht="13.2" x14ac:dyDescent="0.25">
      <c r="A911" s="17"/>
      <c r="B911" s="17"/>
      <c r="D911" s="18"/>
      <c r="E911" s="18"/>
      <c r="F911" s="18"/>
      <c r="G911" s="18"/>
      <c r="H911" s="58"/>
      <c r="I911" s="21"/>
      <c r="J911" s="22"/>
    </row>
    <row r="912" spans="1:10" ht="13.2" x14ac:dyDescent="0.25">
      <c r="A912" s="17"/>
      <c r="B912" s="17"/>
      <c r="D912" s="18"/>
      <c r="E912" s="18"/>
      <c r="F912" s="18"/>
      <c r="G912" s="18"/>
      <c r="H912" s="58"/>
      <c r="I912" s="21"/>
      <c r="J912" s="22"/>
    </row>
    <row r="913" spans="1:10" ht="13.2" x14ac:dyDescent="0.25">
      <c r="A913" s="17"/>
      <c r="B913" s="17"/>
      <c r="D913" s="18"/>
      <c r="E913" s="18"/>
      <c r="F913" s="18"/>
      <c r="G913" s="18"/>
      <c r="H913" s="58"/>
      <c r="I913" s="21"/>
      <c r="J913" s="22"/>
    </row>
    <row r="914" spans="1:10" ht="13.2" x14ac:dyDescent="0.25">
      <c r="A914" s="17"/>
      <c r="B914" s="17"/>
      <c r="D914" s="18"/>
      <c r="E914" s="18"/>
      <c r="F914" s="18"/>
      <c r="G914" s="18"/>
      <c r="H914" s="58"/>
      <c r="I914" s="21"/>
      <c r="J914" s="22"/>
    </row>
    <row r="915" spans="1:10" ht="13.2" x14ac:dyDescent="0.25">
      <c r="A915" s="17"/>
      <c r="B915" s="17"/>
      <c r="D915" s="18"/>
      <c r="E915" s="18"/>
      <c r="F915" s="18"/>
      <c r="G915" s="18"/>
      <c r="H915" s="58"/>
      <c r="I915" s="21"/>
      <c r="J915" s="22"/>
    </row>
    <row r="916" spans="1:10" ht="13.2" x14ac:dyDescent="0.25">
      <c r="A916" s="17"/>
      <c r="B916" s="17"/>
      <c r="D916" s="18"/>
      <c r="E916" s="18"/>
      <c r="F916" s="18"/>
      <c r="G916" s="18"/>
      <c r="H916" s="58"/>
      <c r="I916" s="21"/>
      <c r="J916" s="22"/>
    </row>
    <row r="917" spans="1:10" ht="13.2" x14ac:dyDescent="0.25">
      <c r="A917" s="17"/>
      <c r="B917" s="17"/>
      <c r="D917" s="18"/>
      <c r="E917" s="18"/>
      <c r="F917" s="18"/>
      <c r="G917" s="18"/>
      <c r="H917" s="58"/>
      <c r="I917" s="21"/>
      <c r="J917" s="22"/>
    </row>
    <row r="918" spans="1:10" ht="13.2" x14ac:dyDescent="0.25">
      <c r="A918" s="17"/>
      <c r="B918" s="17"/>
      <c r="D918" s="18"/>
      <c r="E918" s="18"/>
      <c r="F918" s="18"/>
      <c r="G918" s="18"/>
      <c r="H918" s="58"/>
      <c r="I918" s="21"/>
      <c r="J918" s="22"/>
    </row>
    <row r="919" spans="1:10" ht="13.2" x14ac:dyDescent="0.25">
      <c r="A919" s="17"/>
      <c r="B919" s="17"/>
      <c r="D919" s="18"/>
      <c r="E919" s="18"/>
      <c r="F919" s="18"/>
      <c r="G919" s="18"/>
      <c r="H919" s="58"/>
      <c r="I919" s="21"/>
      <c r="J919" s="22"/>
    </row>
    <row r="920" spans="1:10" ht="13.2" x14ac:dyDescent="0.25">
      <c r="A920" s="17"/>
      <c r="B920" s="17"/>
      <c r="D920" s="18"/>
      <c r="E920" s="18"/>
      <c r="F920" s="18"/>
      <c r="G920" s="18"/>
      <c r="H920" s="58"/>
      <c r="I920" s="21"/>
      <c r="J920" s="22"/>
    </row>
    <row r="921" spans="1:10" ht="13.2" x14ac:dyDescent="0.25">
      <c r="A921" s="17"/>
      <c r="B921" s="17"/>
      <c r="D921" s="18"/>
      <c r="E921" s="18"/>
      <c r="F921" s="18"/>
      <c r="G921" s="18"/>
      <c r="H921" s="58"/>
      <c r="I921" s="21"/>
      <c r="J921" s="22"/>
    </row>
    <row r="922" spans="1:10" ht="13.2" x14ac:dyDescent="0.25">
      <c r="A922" s="17"/>
      <c r="B922" s="17"/>
      <c r="D922" s="18"/>
      <c r="E922" s="18"/>
      <c r="F922" s="18"/>
      <c r="G922" s="18"/>
      <c r="H922" s="58"/>
      <c r="I922" s="21"/>
      <c r="J922" s="22"/>
    </row>
    <row r="923" spans="1:10" ht="13.2" x14ac:dyDescent="0.25">
      <c r="A923" s="17"/>
      <c r="B923" s="17"/>
      <c r="D923" s="18"/>
      <c r="E923" s="18"/>
      <c r="F923" s="18"/>
      <c r="G923" s="18"/>
      <c r="H923" s="58"/>
      <c r="I923" s="21"/>
      <c r="J923" s="22"/>
    </row>
    <row r="924" spans="1:10" ht="13.2" x14ac:dyDescent="0.25">
      <c r="A924" s="17"/>
      <c r="B924" s="17"/>
      <c r="D924" s="18"/>
      <c r="E924" s="18"/>
      <c r="F924" s="18"/>
      <c r="G924" s="18"/>
      <c r="H924" s="58"/>
      <c r="I924" s="21"/>
      <c r="J924" s="22"/>
    </row>
    <row r="925" spans="1:10" ht="13.2" x14ac:dyDescent="0.25">
      <c r="A925" s="17"/>
      <c r="B925" s="17"/>
      <c r="D925" s="18"/>
      <c r="E925" s="18"/>
      <c r="F925" s="18"/>
      <c r="G925" s="18"/>
      <c r="H925" s="58"/>
      <c r="I925" s="21"/>
      <c r="J925" s="22"/>
    </row>
    <row r="926" spans="1:10" ht="13.2" x14ac:dyDescent="0.25">
      <c r="A926" s="17"/>
      <c r="B926" s="17"/>
      <c r="D926" s="18"/>
      <c r="E926" s="18"/>
      <c r="F926" s="18"/>
      <c r="G926" s="18"/>
      <c r="H926" s="58"/>
      <c r="I926" s="21"/>
      <c r="J926" s="22"/>
    </row>
    <row r="927" spans="1:10" ht="13.2" x14ac:dyDescent="0.25">
      <c r="A927" s="17"/>
      <c r="B927" s="17"/>
      <c r="D927" s="18"/>
      <c r="E927" s="18"/>
      <c r="F927" s="18"/>
      <c r="G927" s="18"/>
      <c r="H927" s="58"/>
      <c r="I927" s="21"/>
      <c r="J927" s="22"/>
    </row>
    <row r="928" spans="1:10" ht="13.2" x14ac:dyDescent="0.25">
      <c r="A928" s="17"/>
      <c r="B928" s="17"/>
      <c r="D928" s="18"/>
      <c r="E928" s="18"/>
      <c r="F928" s="18"/>
      <c r="G928" s="18"/>
      <c r="H928" s="58"/>
      <c r="I928" s="21"/>
      <c r="J928" s="22"/>
    </row>
    <row r="929" spans="1:10" ht="13.2" x14ac:dyDescent="0.25">
      <c r="A929" s="17"/>
      <c r="B929" s="17"/>
      <c r="D929" s="18"/>
      <c r="E929" s="18"/>
      <c r="F929" s="18"/>
      <c r="G929" s="18"/>
      <c r="H929" s="58"/>
      <c r="I929" s="21"/>
      <c r="J929" s="22"/>
    </row>
    <row r="930" spans="1:10" ht="13.2" x14ac:dyDescent="0.25">
      <c r="A930" s="17"/>
      <c r="B930" s="17"/>
      <c r="D930" s="18"/>
      <c r="E930" s="18"/>
      <c r="F930" s="18"/>
      <c r="G930" s="18"/>
      <c r="H930" s="58"/>
      <c r="I930" s="21"/>
      <c r="J930" s="22"/>
    </row>
    <row r="931" spans="1:10" ht="13.2" x14ac:dyDescent="0.25">
      <c r="A931" s="17"/>
      <c r="B931" s="17"/>
      <c r="D931" s="18"/>
      <c r="E931" s="18"/>
      <c r="F931" s="18"/>
      <c r="G931" s="18"/>
      <c r="H931" s="58"/>
      <c r="I931" s="21"/>
      <c r="J931" s="22"/>
    </row>
    <row r="932" spans="1:10" ht="13.2" x14ac:dyDescent="0.25">
      <c r="A932" s="17"/>
      <c r="B932" s="17"/>
      <c r="D932" s="18"/>
      <c r="E932" s="18"/>
      <c r="F932" s="18"/>
      <c r="G932" s="18"/>
      <c r="H932" s="58"/>
      <c r="I932" s="21"/>
      <c r="J932" s="22"/>
    </row>
    <row r="933" spans="1:10" ht="13.2" x14ac:dyDescent="0.25">
      <c r="A933" s="17"/>
      <c r="B933" s="17"/>
      <c r="D933" s="18"/>
      <c r="E933" s="18"/>
      <c r="F933" s="18"/>
      <c r="G933" s="18"/>
      <c r="H933" s="58"/>
      <c r="I933" s="21"/>
      <c r="J933" s="22"/>
    </row>
    <row r="934" spans="1:10" ht="13.2" x14ac:dyDescent="0.25">
      <c r="A934" s="17"/>
      <c r="B934" s="17"/>
      <c r="D934" s="18"/>
      <c r="E934" s="18"/>
      <c r="F934" s="18"/>
      <c r="G934" s="18"/>
      <c r="H934" s="58"/>
      <c r="I934" s="21"/>
      <c r="J934" s="22"/>
    </row>
    <row r="935" spans="1:10" ht="13.2" x14ac:dyDescent="0.25">
      <c r="A935" s="17"/>
      <c r="B935" s="17"/>
      <c r="D935" s="18"/>
      <c r="E935" s="18"/>
      <c r="F935" s="18"/>
      <c r="G935" s="18"/>
      <c r="H935" s="58"/>
      <c r="I935" s="21"/>
      <c r="J935" s="22"/>
    </row>
    <row r="936" spans="1:10" ht="13.2" x14ac:dyDescent="0.25">
      <c r="A936" s="17"/>
      <c r="B936" s="17"/>
      <c r="D936" s="18"/>
      <c r="E936" s="18"/>
      <c r="F936" s="18"/>
      <c r="G936" s="18"/>
      <c r="H936" s="58"/>
      <c r="I936" s="21"/>
      <c r="J936" s="22"/>
    </row>
    <row r="937" spans="1:10" ht="13.2" x14ac:dyDescent="0.25">
      <c r="A937" s="17"/>
      <c r="B937" s="17"/>
      <c r="D937" s="18"/>
      <c r="E937" s="18"/>
      <c r="F937" s="18"/>
      <c r="G937" s="18"/>
      <c r="H937" s="58"/>
      <c r="I937" s="21"/>
      <c r="J937" s="22"/>
    </row>
    <row r="938" spans="1:10" ht="13.2" x14ac:dyDescent="0.25">
      <c r="A938" s="17"/>
      <c r="B938" s="17"/>
      <c r="D938" s="18"/>
      <c r="E938" s="18"/>
      <c r="F938" s="18"/>
      <c r="G938" s="18"/>
      <c r="H938" s="58"/>
      <c r="I938" s="21"/>
      <c r="J938" s="22"/>
    </row>
    <row r="939" spans="1:10" ht="13.2" x14ac:dyDescent="0.25">
      <c r="A939" s="17"/>
      <c r="B939" s="17"/>
      <c r="D939" s="18"/>
      <c r="E939" s="18"/>
      <c r="F939" s="18"/>
      <c r="G939" s="18"/>
      <c r="H939" s="58"/>
      <c r="I939" s="21"/>
      <c r="J939" s="22"/>
    </row>
    <row r="940" spans="1:10" ht="13.2" x14ac:dyDescent="0.25">
      <c r="A940" s="17"/>
      <c r="B940" s="17"/>
      <c r="D940" s="18"/>
      <c r="E940" s="18"/>
      <c r="F940" s="18"/>
      <c r="G940" s="18"/>
      <c r="H940" s="58"/>
      <c r="I940" s="21"/>
      <c r="J940" s="22"/>
    </row>
    <row r="941" spans="1:10" ht="13.2" x14ac:dyDescent="0.25">
      <c r="A941" s="17"/>
      <c r="B941" s="17"/>
      <c r="D941" s="18"/>
      <c r="E941" s="18"/>
      <c r="F941" s="18"/>
      <c r="G941" s="18"/>
      <c r="H941" s="58"/>
      <c r="I941" s="21"/>
      <c r="J941" s="22"/>
    </row>
    <row r="942" spans="1:10" ht="13.2" x14ac:dyDescent="0.25">
      <c r="A942" s="17"/>
      <c r="B942" s="17"/>
      <c r="D942" s="18"/>
      <c r="E942" s="18"/>
      <c r="F942" s="18"/>
      <c r="G942" s="18"/>
      <c r="H942" s="58"/>
      <c r="I942" s="21"/>
      <c r="J942" s="22"/>
    </row>
    <row r="943" spans="1:10" ht="13.2" x14ac:dyDescent="0.25">
      <c r="A943" s="17"/>
      <c r="B943" s="17"/>
      <c r="D943" s="18"/>
      <c r="E943" s="18"/>
      <c r="F943" s="18"/>
      <c r="G943" s="18"/>
      <c r="H943" s="58"/>
      <c r="I943" s="21"/>
      <c r="J943" s="22"/>
    </row>
    <row r="944" spans="1:10" ht="13.2" x14ac:dyDescent="0.25">
      <c r="A944" s="17"/>
      <c r="B944" s="17"/>
      <c r="D944" s="18"/>
      <c r="E944" s="18"/>
      <c r="F944" s="18"/>
      <c r="G944" s="18"/>
      <c r="H944" s="58"/>
      <c r="I944" s="21"/>
      <c r="J944" s="22"/>
    </row>
    <row r="945" spans="1:10" ht="13.2" x14ac:dyDescent="0.25">
      <c r="A945" s="17"/>
      <c r="B945" s="17"/>
      <c r="D945" s="18"/>
      <c r="E945" s="18"/>
      <c r="F945" s="18"/>
      <c r="G945" s="18"/>
      <c r="H945" s="58"/>
      <c r="I945" s="21"/>
      <c r="J945" s="22"/>
    </row>
    <row r="946" spans="1:10" ht="13.2" x14ac:dyDescent="0.25">
      <c r="A946" s="17"/>
      <c r="B946" s="17"/>
      <c r="D946" s="18"/>
      <c r="E946" s="18"/>
      <c r="F946" s="18"/>
      <c r="G946" s="18"/>
      <c r="H946" s="58"/>
      <c r="I946" s="21"/>
      <c r="J946" s="22"/>
    </row>
    <row r="947" spans="1:10" ht="13.2" x14ac:dyDescent="0.25">
      <c r="A947" s="17"/>
      <c r="B947" s="17"/>
      <c r="D947" s="18"/>
      <c r="E947" s="18"/>
      <c r="F947" s="18"/>
      <c r="G947" s="18"/>
      <c r="H947" s="58"/>
      <c r="I947" s="21"/>
      <c r="J947" s="22"/>
    </row>
    <row r="948" spans="1:10" ht="13.2" x14ac:dyDescent="0.25">
      <c r="A948" s="17"/>
      <c r="B948" s="17"/>
      <c r="D948" s="18"/>
      <c r="E948" s="18"/>
      <c r="F948" s="18"/>
      <c r="G948" s="18"/>
      <c r="H948" s="58"/>
      <c r="I948" s="21"/>
      <c r="J948" s="22"/>
    </row>
    <row r="949" spans="1:10" ht="13.2" x14ac:dyDescent="0.25">
      <c r="A949" s="17"/>
      <c r="B949" s="17"/>
      <c r="D949" s="18"/>
      <c r="E949" s="18"/>
      <c r="F949" s="18"/>
      <c r="G949" s="18"/>
      <c r="H949" s="58"/>
      <c r="I949" s="21"/>
      <c r="J949" s="22"/>
    </row>
    <row r="950" spans="1:10" ht="13.2" x14ac:dyDescent="0.25">
      <c r="A950" s="17"/>
      <c r="B950" s="17"/>
      <c r="D950" s="18"/>
      <c r="E950" s="18"/>
      <c r="F950" s="18"/>
      <c r="G950" s="18"/>
      <c r="H950" s="58"/>
      <c r="I950" s="21"/>
      <c r="J950" s="22"/>
    </row>
    <row r="951" spans="1:10" ht="13.2" x14ac:dyDescent="0.25">
      <c r="A951" s="17"/>
      <c r="B951" s="17"/>
      <c r="D951" s="18"/>
      <c r="E951" s="18"/>
      <c r="F951" s="18"/>
      <c r="G951" s="18"/>
      <c r="H951" s="58"/>
      <c r="I951" s="21"/>
      <c r="J951" s="22"/>
    </row>
    <row r="952" spans="1:10" ht="13.2" x14ac:dyDescent="0.25">
      <c r="A952" s="17"/>
      <c r="B952" s="17"/>
      <c r="D952" s="18"/>
      <c r="E952" s="18"/>
      <c r="F952" s="18"/>
      <c r="G952" s="18"/>
      <c r="H952" s="58"/>
      <c r="I952" s="21"/>
      <c r="J952" s="22"/>
    </row>
    <row r="953" spans="1:10" ht="13.2" x14ac:dyDescent="0.25">
      <c r="A953" s="17"/>
      <c r="B953" s="17"/>
      <c r="D953" s="18"/>
      <c r="E953" s="18"/>
      <c r="F953" s="18"/>
      <c r="G953" s="18"/>
      <c r="H953" s="58"/>
      <c r="I953" s="21"/>
      <c r="J953" s="22"/>
    </row>
    <row r="954" spans="1:10" ht="13.2" x14ac:dyDescent="0.25">
      <c r="A954" s="17"/>
      <c r="B954" s="17"/>
      <c r="D954" s="18"/>
      <c r="E954" s="18"/>
      <c r="F954" s="18"/>
      <c r="G954" s="18"/>
      <c r="H954" s="58"/>
      <c r="I954" s="21"/>
      <c r="J954" s="22"/>
    </row>
    <row r="955" spans="1:10" ht="13.2" x14ac:dyDescent="0.25">
      <c r="A955" s="17"/>
      <c r="B955" s="17"/>
      <c r="D955" s="18"/>
      <c r="E955" s="18"/>
      <c r="F955" s="18"/>
      <c r="G955" s="18"/>
      <c r="H955" s="58"/>
      <c r="I955" s="21"/>
      <c r="J955" s="22"/>
    </row>
    <row r="956" spans="1:10" ht="13.2" x14ac:dyDescent="0.25">
      <c r="A956" s="17"/>
      <c r="B956" s="17"/>
      <c r="D956" s="18"/>
      <c r="E956" s="18"/>
      <c r="F956" s="18"/>
      <c r="G956" s="18"/>
      <c r="H956" s="58"/>
      <c r="I956" s="21"/>
      <c r="J956" s="22"/>
    </row>
    <row r="957" spans="1:10" ht="13.2" x14ac:dyDescent="0.25">
      <c r="A957" s="17"/>
      <c r="B957" s="17"/>
      <c r="D957" s="18"/>
      <c r="E957" s="18"/>
      <c r="F957" s="18"/>
      <c r="G957" s="18"/>
      <c r="H957" s="58"/>
      <c r="I957" s="21"/>
      <c r="J957" s="22"/>
    </row>
    <row r="958" spans="1:10" ht="13.2" x14ac:dyDescent="0.25">
      <c r="A958" s="17"/>
      <c r="B958" s="17"/>
      <c r="D958" s="18"/>
      <c r="E958" s="18"/>
      <c r="F958" s="18"/>
      <c r="G958" s="18"/>
      <c r="H958" s="58"/>
      <c r="I958" s="21"/>
      <c r="J958" s="22"/>
    </row>
    <row r="959" spans="1:10" ht="13.2" x14ac:dyDescent="0.25">
      <c r="A959" s="17"/>
      <c r="B959" s="17"/>
      <c r="D959" s="18"/>
      <c r="E959" s="18"/>
      <c r="F959" s="18"/>
      <c r="G959" s="18"/>
      <c r="H959" s="58"/>
      <c r="I959" s="21"/>
      <c r="J959" s="22"/>
    </row>
    <row r="960" spans="1:10" ht="13.2" x14ac:dyDescent="0.25">
      <c r="A960" s="17"/>
      <c r="B960" s="17"/>
      <c r="D960" s="18"/>
      <c r="E960" s="18"/>
      <c r="F960" s="18"/>
      <c r="G960" s="18"/>
      <c r="H960" s="58"/>
      <c r="I960" s="21"/>
      <c r="J960" s="22"/>
    </row>
    <row r="961" spans="1:10" ht="13.2" x14ac:dyDescent="0.25">
      <c r="A961" s="17"/>
      <c r="B961" s="17"/>
      <c r="D961" s="18"/>
      <c r="E961" s="18"/>
      <c r="F961" s="18"/>
      <c r="G961" s="18"/>
      <c r="H961" s="58"/>
      <c r="I961" s="21"/>
      <c r="J961" s="22"/>
    </row>
    <row r="962" spans="1:10" ht="13.2" x14ac:dyDescent="0.25">
      <c r="A962" s="17"/>
      <c r="B962" s="17"/>
      <c r="D962" s="18"/>
      <c r="E962" s="18"/>
      <c r="F962" s="18"/>
      <c r="G962" s="18"/>
      <c r="H962" s="58"/>
      <c r="I962" s="21"/>
      <c r="J962" s="22"/>
    </row>
    <row r="963" spans="1:10" ht="13.2" x14ac:dyDescent="0.25">
      <c r="A963" s="17"/>
      <c r="B963" s="17"/>
      <c r="D963" s="18"/>
      <c r="E963" s="18"/>
      <c r="F963" s="18"/>
      <c r="G963" s="18"/>
      <c r="H963" s="58"/>
      <c r="I963" s="21"/>
      <c r="J963" s="22"/>
    </row>
    <row r="964" spans="1:10" ht="13.2" x14ac:dyDescent="0.25">
      <c r="A964" s="17"/>
      <c r="B964" s="17"/>
      <c r="D964" s="18"/>
      <c r="E964" s="18"/>
      <c r="F964" s="18"/>
      <c r="G964" s="18"/>
      <c r="H964" s="58"/>
      <c r="I964" s="21"/>
      <c r="J964" s="22"/>
    </row>
    <row r="965" spans="1:10" ht="13.2" x14ac:dyDescent="0.25">
      <c r="A965" s="17"/>
      <c r="B965" s="17"/>
      <c r="D965" s="18"/>
      <c r="E965" s="18"/>
      <c r="F965" s="18"/>
      <c r="G965" s="18"/>
      <c r="H965" s="58"/>
      <c r="I965" s="21"/>
      <c r="J965" s="22"/>
    </row>
    <row r="966" spans="1:10" ht="13.2" x14ac:dyDescent="0.25">
      <c r="A966" s="17"/>
      <c r="B966" s="17"/>
      <c r="D966" s="18"/>
      <c r="E966" s="18"/>
      <c r="F966" s="18"/>
      <c r="G966" s="18"/>
      <c r="H966" s="58"/>
      <c r="I966" s="21"/>
      <c r="J966" s="22"/>
    </row>
    <row r="967" spans="1:10" ht="13.2" x14ac:dyDescent="0.25">
      <c r="A967" s="17"/>
      <c r="B967" s="17"/>
      <c r="D967" s="18"/>
      <c r="E967" s="18"/>
      <c r="F967" s="18"/>
      <c r="G967" s="18"/>
      <c r="H967" s="58"/>
      <c r="I967" s="21"/>
      <c r="J967" s="22"/>
    </row>
    <row r="968" spans="1:10" ht="13.2" x14ac:dyDescent="0.25">
      <c r="A968" s="17"/>
      <c r="B968" s="17"/>
      <c r="D968" s="18"/>
      <c r="E968" s="18"/>
      <c r="F968" s="18"/>
      <c r="G968" s="18"/>
      <c r="H968" s="58"/>
      <c r="I968" s="21"/>
      <c r="J968" s="22"/>
    </row>
    <row r="969" spans="1:10" ht="13.2" x14ac:dyDescent="0.25">
      <c r="A969" s="17"/>
      <c r="B969" s="17"/>
      <c r="D969" s="18"/>
      <c r="E969" s="18"/>
      <c r="F969" s="18"/>
      <c r="G969" s="18"/>
      <c r="H969" s="58"/>
      <c r="I969" s="21"/>
      <c r="J969" s="22"/>
    </row>
    <row r="970" spans="1:10" ht="13.2" x14ac:dyDescent="0.25">
      <c r="A970" s="17"/>
      <c r="B970" s="17"/>
      <c r="D970" s="18"/>
      <c r="E970" s="18"/>
      <c r="F970" s="18"/>
      <c r="G970" s="18"/>
      <c r="H970" s="58"/>
      <c r="I970" s="21"/>
      <c r="J970" s="22"/>
    </row>
    <row r="971" spans="1:10" ht="13.2" x14ac:dyDescent="0.25">
      <c r="A971" s="17"/>
      <c r="B971" s="17"/>
      <c r="D971" s="18"/>
      <c r="E971" s="18"/>
      <c r="F971" s="18"/>
      <c r="G971" s="18"/>
      <c r="H971" s="58"/>
      <c r="I971" s="21"/>
      <c r="J971" s="22"/>
    </row>
    <row r="972" spans="1:10" ht="13.2" x14ac:dyDescent="0.25">
      <c r="A972" s="17"/>
      <c r="B972" s="17"/>
      <c r="D972" s="18"/>
      <c r="E972" s="18"/>
      <c r="F972" s="18"/>
      <c r="G972" s="18"/>
      <c r="H972" s="58"/>
      <c r="I972" s="21"/>
      <c r="J972" s="22"/>
    </row>
    <row r="973" spans="1:10" ht="13.2" x14ac:dyDescent="0.25">
      <c r="A973" s="17"/>
      <c r="B973" s="17"/>
      <c r="D973" s="18"/>
      <c r="E973" s="18"/>
      <c r="F973" s="18"/>
      <c r="G973" s="18"/>
      <c r="H973" s="58"/>
      <c r="I973" s="21"/>
      <c r="J973" s="22"/>
    </row>
    <row r="974" spans="1:10" ht="13.2" x14ac:dyDescent="0.25">
      <c r="A974" s="17"/>
      <c r="B974" s="17"/>
      <c r="D974" s="18"/>
      <c r="E974" s="18"/>
      <c r="F974" s="18"/>
      <c r="G974" s="18"/>
      <c r="H974" s="58"/>
      <c r="I974" s="21"/>
      <c r="J974" s="22"/>
    </row>
    <row r="975" spans="1:10" ht="13.2" x14ac:dyDescent="0.25">
      <c r="A975" s="17"/>
      <c r="B975" s="17"/>
      <c r="D975" s="18"/>
      <c r="E975" s="18"/>
      <c r="F975" s="18"/>
      <c r="G975" s="18"/>
      <c r="H975" s="58"/>
      <c r="I975" s="21"/>
      <c r="J975" s="22"/>
    </row>
    <row r="976" spans="1:10" ht="13.2" x14ac:dyDescent="0.25">
      <c r="A976" s="17"/>
      <c r="B976" s="17"/>
      <c r="D976" s="18"/>
      <c r="E976" s="18"/>
      <c r="F976" s="18"/>
      <c r="G976" s="18"/>
      <c r="H976" s="58"/>
      <c r="I976" s="21"/>
      <c r="J976" s="22"/>
    </row>
    <row r="977" spans="1:10" ht="13.2" x14ac:dyDescent="0.25">
      <c r="A977" s="17"/>
      <c r="B977" s="17"/>
      <c r="D977" s="18"/>
      <c r="E977" s="18"/>
      <c r="F977" s="18"/>
      <c r="G977" s="18"/>
      <c r="H977" s="58"/>
      <c r="I977" s="21"/>
      <c r="J977" s="22"/>
    </row>
    <row r="978" spans="1:10" ht="13.2" x14ac:dyDescent="0.25">
      <c r="A978" s="17"/>
      <c r="B978" s="17"/>
      <c r="D978" s="18"/>
      <c r="E978" s="18"/>
      <c r="F978" s="18"/>
      <c r="G978" s="18"/>
      <c r="H978" s="58"/>
      <c r="I978" s="21"/>
      <c r="J978" s="22"/>
    </row>
    <row r="979" spans="1:10" ht="13.2" x14ac:dyDescent="0.25">
      <c r="A979" s="17"/>
      <c r="B979" s="17"/>
      <c r="D979" s="18"/>
      <c r="E979" s="18"/>
      <c r="F979" s="18"/>
      <c r="G979" s="18"/>
      <c r="H979" s="58"/>
      <c r="I979" s="21"/>
      <c r="J979" s="22"/>
    </row>
    <row r="980" spans="1:10" ht="13.2" x14ac:dyDescent="0.25">
      <c r="A980" s="17"/>
      <c r="B980" s="17"/>
      <c r="D980" s="18"/>
      <c r="E980" s="18"/>
      <c r="F980" s="18"/>
      <c r="G980" s="18"/>
      <c r="H980" s="58"/>
      <c r="I980" s="21"/>
      <c r="J980" s="22"/>
    </row>
    <row r="981" spans="1:10" ht="13.2" x14ac:dyDescent="0.25">
      <c r="A981" s="17"/>
      <c r="B981" s="17"/>
      <c r="D981" s="18"/>
      <c r="E981" s="18"/>
      <c r="F981" s="18"/>
      <c r="G981" s="18"/>
      <c r="H981" s="58"/>
      <c r="I981" s="21"/>
      <c r="J981" s="22"/>
    </row>
    <row r="982" spans="1:10" ht="13.2" x14ac:dyDescent="0.25">
      <c r="A982" s="17"/>
      <c r="B982" s="17"/>
      <c r="D982" s="18"/>
      <c r="E982" s="18"/>
      <c r="F982" s="18"/>
      <c r="G982" s="18"/>
      <c r="H982" s="58"/>
      <c r="I982" s="21"/>
      <c r="J982" s="22"/>
    </row>
    <row r="983" spans="1:10" ht="13.2" x14ac:dyDescent="0.25">
      <c r="A983" s="17"/>
      <c r="B983" s="17"/>
      <c r="D983" s="18"/>
      <c r="E983" s="18"/>
      <c r="F983" s="18"/>
      <c r="G983" s="18"/>
      <c r="H983" s="58"/>
      <c r="I983" s="21"/>
      <c r="J983" s="22"/>
    </row>
    <row r="984" spans="1:10" ht="13.2" x14ac:dyDescent="0.25">
      <c r="A984" s="17"/>
      <c r="B984" s="17"/>
      <c r="D984" s="18"/>
      <c r="E984" s="18"/>
      <c r="F984" s="18"/>
      <c r="G984" s="18"/>
      <c r="H984" s="58"/>
      <c r="I984" s="21"/>
      <c r="J984" s="22"/>
    </row>
    <row r="985" spans="1:10" ht="13.2" x14ac:dyDescent="0.25">
      <c r="A985" s="17"/>
      <c r="B985" s="17"/>
      <c r="D985" s="18"/>
      <c r="E985" s="18"/>
      <c r="F985" s="18"/>
      <c r="G985" s="18"/>
      <c r="H985" s="58"/>
      <c r="I985" s="21"/>
      <c r="J985" s="22"/>
    </row>
    <row r="986" spans="1:10" ht="13.2" x14ac:dyDescent="0.25">
      <c r="A986" s="17"/>
      <c r="B986" s="17"/>
      <c r="D986" s="18"/>
      <c r="E986" s="18"/>
      <c r="F986" s="18"/>
      <c r="G986" s="18"/>
      <c r="H986" s="58"/>
      <c r="I986" s="21"/>
      <c r="J986" s="22"/>
    </row>
    <row r="987" spans="1:10" ht="13.2" x14ac:dyDescent="0.25">
      <c r="A987" s="17"/>
      <c r="B987" s="17"/>
      <c r="D987" s="18"/>
      <c r="E987" s="18"/>
      <c r="F987" s="18"/>
      <c r="G987" s="18"/>
      <c r="H987" s="58"/>
      <c r="I987" s="21"/>
      <c r="J987" s="22"/>
    </row>
    <row r="988" spans="1:10" ht="13.2" x14ac:dyDescent="0.25">
      <c r="A988" s="17"/>
      <c r="B988" s="17"/>
      <c r="D988" s="18"/>
      <c r="E988" s="18"/>
      <c r="F988" s="18"/>
      <c r="G988" s="18"/>
      <c r="H988" s="58"/>
      <c r="I988" s="21"/>
      <c r="J988" s="22"/>
    </row>
    <row r="989" spans="1:10" ht="13.2" x14ac:dyDescent="0.25">
      <c r="A989" s="17"/>
      <c r="B989" s="17"/>
      <c r="D989" s="18"/>
      <c r="E989" s="18"/>
      <c r="F989" s="18"/>
      <c r="G989" s="18"/>
      <c r="H989" s="58"/>
      <c r="I989" s="21"/>
      <c r="J989" s="22"/>
    </row>
    <row r="990" spans="1:10" ht="13.2" x14ac:dyDescent="0.25">
      <c r="A990" s="17"/>
      <c r="B990" s="17"/>
      <c r="D990" s="18"/>
      <c r="E990" s="18"/>
      <c r="F990" s="18"/>
      <c r="G990" s="18"/>
      <c r="H990" s="58"/>
      <c r="I990" s="21"/>
      <c r="J990" s="22"/>
    </row>
    <row r="991" spans="1:10" ht="13.2" x14ac:dyDescent="0.25">
      <c r="A991" s="17"/>
      <c r="B991" s="17"/>
      <c r="D991" s="18"/>
      <c r="E991" s="18"/>
      <c r="F991" s="18"/>
      <c r="G991" s="18"/>
      <c r="H991" s="58"/>
      <c r="I991" s="21"/>
      <c r="J991" s="22"/>
    </row>
    <row r="992" spans="1:10" ht="13.2" x14ac:dyDescent="0.25">
      <c r="A992" s="17"/>
      <c r="B992" s="17"/>
      <c r="D992" s="18"/>
      <c r="E992" s="18"/>
      <c r="F992" s="18"/>
      <c r="G992" s="18"/>
      <c r="H992" s="58"/>
      <c r="I992" s="21"/>
      <c r="J992" s="22"/>
    </row>
    <row r="993" spans="1:10" ht="13.2" x14ac:dyDescent="0.25">
      <c r="A993" s="17"/>
      <c r="B993" s="17"/>
      <c r="D993" s="18"/>
      <c r="E993" s="18"/>
      <c r="F993" s="18"/>
      <c r="G993" s="18"/>
      <c r="H993" s="58"/>
      <c r="I993" s="21"/>
      <c r="J993" s="22"/>
    </row>
    <row r="994" spans="1:10" ht="13.2" x14ac:dyDescent="0.25">
      <c r="A994" s="17"/>
      <c r="B994" s="17"/>
      <c r="D994" s="18"/>
      <c r="E994" s="18"/>
      <c r="F994" s="18"/>
      <c r="G994" s="18"/>
      <c r="H994" s="58"/>
      <c r="I994" s="21"/>
      <c r="J994" s="22"/>
    </row>
    <row r="995" spans="1:10" ht="13.2" x14ac:dyDescent="0.25">
      <c r="A995" s="17"/>
      <c r="B995" s="17"/>
      <c r="D995" s="18"/>
      <c r="E995" s="18"/>
      <c r="F995" s="18"/>
      <c r="G995" s="18"/>
      <c r="H995" s="58"/>
      <c r="I995" s="21"/>
      <c r="J995" s="22"/>
    </row>
    <row r="996" spans="1:10" ht="13.2" x14ac:dyDescent="0.25">
      <c r="A996" s="17"/>
      <c r="B996" s="17"/>
      <c r="D996" s="18"/>
      <c r="E996" s="18"/>
      <c r="F996" s="18"/>
      <c r="G996" s="18"/>
      <c r="H996" s="58"/>
      <c r="I996" s="21"/>
      <c r="J996" s="22"/>
    </row>
    <row r="997" spans="1:10" ht="13.2" x14ac:dyDescent="0.25">
      <c r="A997" s="17"/>
      <c r="B997" s="17"/>
      <c r="D997" s="18"/>
      <c r="E997" s="18"/>
      <c r="F997" s="18"/>
      <c r="G997" s="18"/>
      <c r="H997" s="58"/>
      <c r="I997" s="21"/>
      <c r="J997" s="22"/>
    </row>
    <row r="998" spans="1:10" ht="13.2" x14ac:dyDescent="0.25">
      <c r="A998" s="17"/>
      <c r="B998" s="17"/>
      <c r="D998" s="18"/>
      <c r="E998" s="18"/>
      <c r="F998" s="18"/>
      <c r="G998" s="18"/>
      <c r="H998" s="58"/>
      <c r="I998" s="21"/>
      <c r="J998" s="22"/>
    </row>
    <row r="999" spans="1:10" ht="13.2" x14ac:dyDescent="0.25">
      <c r="A999" s="17"/>
      <c r="B999" s="17"/>
      <c r="D999" s="18"/>
      <c r="E999" s="18"/>
      <c r="F999" s="18"/>
      <c r="G999" s="18"/>
      <c r="H999" s="58"/>
      <c r="I999" s="21"/>
      <c r="J999" s="22"/>
    </row>
    <row r="1000" spans="1:10" ht="13.2" x14ac:dyDescent="0.25">
      <c r="A1000" s="17"/>
      <c r="B1000" s="17"/>
      <c r="D1000" s="18"/>
      <c r="E1000" s="18"/>
      <c r="F1000" s="18"/>
      <c r="G1000" s="18"/>
      <c r="H1000" s="58"/>
      <c r="I1000" s="21"/>
      <c r="J1000" s="22"/>
    </row>
    <row r="1001" spans="1:10" ht="13.2" x14ac:dyDescent="0.25">
      <c r="A1001" s="17"/>
      <c r="B1001" s="17"/>
      <c r="D1001" s="18"/>
      <c r="E1001" s="18"/>
      <c r="F1001" s="18"/>
      <c r="G1001" s="18"/>
      <c r="H1001" s="58"/>
      <c r="I1001" s="21"/>
      <c r="J1001" s="22"/>
    </row>
    <row r="1002" spans="1:10" ht="13.2" x14ac:dyDescent="0.25">
      <c r="A1002" s="17"/>
      <c r="B1002" s="17"/>
      <c r="D1002" s="18"/>
      <c r="E1002" s="18"/>
      <c r="F1002" s="18"/>
      <c r="G1002" s="18"/>
      <c r="H1002" s="58"/>
      <c r="I1002" s="21"/>
      <c r="J1002" s="22"/>
    </row>
    <row r="1003" spans="1:10" ht="13.2" x14ac:dyDescent="0.25">
      <c r="A1003" s="17"/>
      <c r="B1003" s="17"/>
      <c r="D1003" s="18"/>
      <c r="E1003" s="18"/>
      <c r="F1003" s="18"/>
      <c r="G1003" s="18"/>
      <c r="H1003" s="58"/>
      <c r="I1003" s="21"/>
      <c r="J1003" s="22"/>
    </row>
    <row r="1004" spans="1:10" ht="13.2" x14ac:dyDescent="0.25">
      <c r="A1004" s="17"/>
      <c r="B1004" s="17"/>
      <c r="D1004" s="18"/>
      <c r="E1004" s="18"/>
      <c r="F1004" s="18"/>
      <c r="G1004" s="18"/>
      <c r="H1004" s="58"/>
      <c r="I1004" s="21"/>
      <c r="J1004" s="22"/>
    </row>
    <row r="1005" spans="1:10" ht="13.2" x14ac:dyDescent="0.25">
      <c r="A1005" s="17"/>
      <c r="B1005" s="17"/>
      <c r="D1005" s="18"/>
      <c r="E1005" s="18"/>
      <c r="F1005" s="18"/>
      <c r="G1005" s="18"/>
      <c r="H1005" s="58"/>
      <c r="I1005" s="21"/>
      <c r="J1005" s="22"/>
    </row>
    <row r="1006" spans="1:10" ht="13.2" x14ac:dyDescent="0.25">
      <c r="A1006" s="17"/>
      <c r="B1006" s="17"/>
      <c r="D1006" s="18"/>
      <c r="E1006" s="18"/>
      <c r="F1006" s="18"/>
      <c r="G1006" s="18"/>
      <c r="H1006" s="58"/>
      <c r="I1006" s="21"/>
      <c r="J1006" s="22"/>
    </row>
    <row r="1007" spans="1:10" ht="13.2" x14ac:dyDescent="0.25">
      <c r="A1007" s="17"/>
      <c r="B1007" s="17"/>
      <c r="D1007" s="18"/>
      <c r="E1007" s="18"/>
      <c r="F1007" s="18"/>
      <c r="G1007" s="18"/>
      <c r="H1007" s="58"/>
      <c r="I1007" s="21"/>
      <c r="J1007" s="22"/>
    </row>
    <row r="1008" spans="1:10" ht="13.2" x14ac:dyDescent="0.25">
      <c r="A1008" s="17"/>
      <c r="B1008" s="17"/>
      <c r="D1008" s="18"/>
      <c r="E1008" s="18"/>
      <c r="F1008" s="18"/>
      <c r="G1008" s="18"/>
      <c r="H1008" s="58"/>
      <c r="I1008" s="21"/>
      <c r="J1008" s="22"/>
    </row>
    <row r="1009" spans="1:10" ht="13.2" x14ac:dyDescent="0.25">
      <c r="A1009" s="17"/>
      <c r="B1009" s="17"/>
      <c r="D1009" s="18"/>
      <c r="E1009" s="18"/>
      <c r="F1009" s="18"/>
      <c r="G1009" s="18"/>
      <c r="H1009" s="58"/>
      <c r="I1009" s="21"/>
      <c r="J1009" s="22"/>
    </row>
    <row r="1010" spans="1:10" ht="13.2" x14ac:dyDescent="0.25">
      <c r="A1010" s="17"/>
      <c r="B1010" s="17"/>
      <c r="D1010" s="18"/>
      <c r="E1010" s="18"/>
      <c r="F1010" s="18"/>
      <c r="G1010" s="18"/>
      <c r="H1010" s="58"/>
      <c r="I1010" s="21"/>
      <c r="J1010" s="22"/>
    </row>
    <row r="1011" spans="1:10" ht="13.2" x14ac:dyDescent="0.25">
      <c r="A1011" s="17"/>
      <c r="B1011" s="17"/>
      <c r="D1011" s="18"/>
      <c r="E1011" s="18"/>
      <c r="F1011" s="18"/>
      <c r="G1011" s="18"/>
      <c r="H1011" s="58"/>
      <c r="I1011" s="21"/>
      <c r="J1011" s="22"/>
    </row>
    <row r="1012" spans="1:10" ht="13.2" x14ac:dyDescent="0.25">
      <c r="A1012" s="17"/>
      <c r="B1012" s="17"/>
      <c r="D1012" s="18"/>
      <c r="E1012" s="18"/>
      <c r="F1012" s="18"/>
      <c r="G1012" s="18"/>
      <c r="H1012" s="58"/>
      <c r="I1012" s="21"/>
      <c r="J1012" s="22"/>
    </row>
    <row r="1013" spans="1:10" ht="13.2" x14ac:dyDescent="0.25">
      <c r="A1013" s="17"/>
      <c r="B1013" s="17"/>
      <c r="D1013" s="18"/>
      <c r="E1013" s="18"/>
      <c r="F1013" s="18"/>
      <c r="G1013" s="18"/>
      <c r="H1013" s="58"/>
      <c r="I1013" s="21"/>
      <c r="J1013" s="22"/>
    </row>
    <row r="1014" spans="1:10" ht="13.2" x14ac:dyDescent="0.25">
      <c r="A1014" s="17"/>
      <c r="B1014" s="17"/>
      <c r="D1014" s="18"/>
      <c r="E1014" s="18"/>
      <c r="F1014" s="18"/>
      <c r="G1014" s="18"/>
      <c r="H1014" s="58"/>
      <c r="I1014" s="21"/>
      <c r="J1014" s="22"/>
    </row>
    <row r="1015" spans="1:10" ht="13.2" x14ac:dyDescent="0.25">
      <c r="A1015" s="17"/>
      <c r="B1015" s="17"/>
      <c r="D1015" s="18"/>
      <c r="E1015" s="18"/>
      <c r="F1015" s="18"/>
      <c r="G1015" s="18"/>
      <c r="H1015" s="58"/>
      <c r="I1015" s="21"/>
      <c r="J1015" s="22"/>
    </row>
    <row r="1016" spans="1:10" ht="13.2" x14ac:dyDescent="0.25">
      <c r="A1016" s="17"/>
      <c r="B1016" s="17"/>
      <c r="D1016" s="18"/>
      <c r="E1016" s="18"/>
      <c r="F1016" s="18"/>
      <c r="G1016" s="18"/>
      <c r="H1016" s="58"/>
      <c r="I1016" s="21"/>
      <c r="J1016" s="22"/>
    </row>
    <row r="1017" spans="1:10" ht="13.2" x14ac:dyDescent="0.25">
      <c r="A1017" s="17"/>
      <c r="B1017" s="17"/>
      <c r="D1017" s="18"/>
      <c r="E1017" s="18"/>
      <c r="F1017" s="18"/>
      <c r="G1017" s="18"/>
      <c r="H1017" s="58"/>
      <c r="I1017" s="21"/>
      <c r="J1017" s="22"/>
    </row>
    <row r="1018" spans="1:10" ht="13.2" x14ac:dyDescent="0.25">
      <c r="A1018" s="17"/>
      <c r="B1018" s="17"/>
      <c r="D1018" s="18"/>
      <c r="E1018" s="18"/>
      <c r="F1018" s="18"/>
      <c r="G1018" s="18"/>
      <c r="H1018" s="58"/>
      <c r="I1018" s="21"/>
      <c r="J1018" s="22"/>
    </row>
    <row r="1019" spans="1:10" ht="13.2" x14ac:dyDescent="0.25">
      <c r="A1019" s="17"/>
      <c r="B1019" s="17"/>
      <c r="D1019" s="18"/>
      <c r="E1019" s="18"/>
      <c r="F1019" s="18"/>
      <c r="G1019" s="18"/>
      <c r="H1019" s="58"/>
      <c r="I1019" s="21"/>
      <c r="J1019" s="22"/>
    </row>
    <row r="1020" spans="1:10" ht="13.2" x14ac:dyDescent="0.25">
      <c r="A1020" s="17"/>
      <c r="B1020" s="17"/>
      <c r="D1020" s="18"/>
      <c r="E1020" s="18"/>
      <c r="F1020" s="18"/>
      <c r="G1020" s="18"/>
      <c r="H1020" s="58"/>
      <c r="I1020" s="21"/>
      <c r="J1020" s="22"/>
    </row>
    <row r="1021" spans="1:10" ht="13.2" x14ac:dyDescent="0.25">
      <c r="A1021" s="17"/>
      <c r="B1021" s="17"/>
      <c r="D1021" s="18"/>
      <c r="E1021" s="18"/>
      <c r="F1021" s="18"/>
      <c r="G1021" s="18"/>
      <c r="H1021" s="58"/>
      <c r="I1021" s="21"/>
      <c r="J1021" s="22"/>
    </row>
    <row r="1022" spans="1:10" ht="13.2" x14ac:dyDescent="0.25">
      <c r="A1022" s="17"/>
      <c r="B1022" s="17"/>
      <c r="D1022" s="18"/>
      <c r="E1022" s="18"/>
      <c r="F1022" s="18"/>
      <c r="G1022" s="18"/>
      <c r="H1022" s="58"/>
      <c r="I1022" s="21"/>
      <c r="J1022" s="22"/>
    </row>
    <row r="1023" spans="1:10" ht="13.2" x14ac:dyDescent="0.25">
      <c r="A1023" s="17"/>
      <c r="B1023" s="17"/>
      <c r="D1023" s="18"/>
      <c r="E1023" s="18"/>
      <c r="F1023" s="18"/>
      <c r="G1023" s="18"/>
      <c r="H1023" s="58"/>
      <c r="I1023" s="21"/>
      <c r="J1023" s="22"/>
    </row>
    <row r="1024" spans="1:10" ht="13.2" x14ac:dyDescent="0.25">
      <c r="A1024" s="17"/>
      <c r="B1024" s="17"/>
      <c r="D1024" s="18"/>
      <c r="E1024" s="18"/>
      <c r="F1024" s="18"/>
      <c r="G1024" s="18"/>
      <c r="H1024" s="58"/>
      <c r="I1024" s="21"/>
      <c r="J1024" s="22"/>
    </row>
  </sheetData>
  <mergeCells count="25">
    <mergeCell ref="B180:G180"/>
    <mergeCell ref="B188:G188"/>
    <mergeCell ref="B196:G196"/>
    <mergeCell ref="B116:G116"/>
    <mergeCell ref="B124:G124"/>
    <mergeCell ref="B132:G132"/>
    <mergeCell ref="B140:G140"/>
    <mergeCell ref="B148:H148"/>
    <mergeCell ref="B156:G156"/>
    <mergeCell ref="B164:G164"/>
    <mergeCell ref="B84:G84"/>
    <mergeCell ref="B92:G92"/>
    <mergeCell ref="B100:G100"/>
    <mergeCell ref="B108:G108"/>
    <mergeCell ref="B172:G172"/>
    <mergeCell ref="B44:G44"/>
    <mergeCell ref="B52:G52"/>
    <mergeCell ref="B60:G60"/>
    <mergeCell ref="B68:G68"/>
    <mergeCell ref="B76:G76"/>
    <mergeCell ref="B4:G4"/>
    <mergeCell ref="B12:G12"/>
    <mergeCell ref="B20:G20"/>
    <mergeCell ref="B28:G28"/>
    <mergeCell ref="B36:G36"/>
  </mergeCells>
  <conditionalFormatting sqref="L13">
    <cfRule type="notContainsBlanks" dxfId="5" priority="1">
      <formula>LEN(TRIM(L13))&gt;0</formula>
    </cfRule>
  </conditionalFormatting>
  <dataValidations count="2">
    <dataValidation type="custom" allowBlank="1" showDropDown="1" showInputMessage="1" showErrorMessage="1" prompt="Ebbe a cellába csak 2011 és 2014 közötti értéket kell megadni!" sqref="D5:D9 D13:D17 D21:D25 D29:D33 D37:D41 D45:D49 D53:D57 D61:D65 D69:D73 D77:D81 D85:D89 D93:D97 D101:D105 D109:D113 D117:D121 D125:D129 D133:D137 D141:D145 D149:D153 D157:D161 D165:D169 D173:D177 D181:D185 D189:D193 D197:D201" xr:uid="{00000000-0002-0000-0200-000000000000}">
      <formula1>OR(D5 = "2011", D5="2012",  D5="2013", D5="2014")</formula1>
    </dataValidation>
    <dataValidation type="custom" allowBlank="1" showDropDown="1" showInputMessage="1" showErrorMessage="1" prompt="Csak szám, (12,33), x. és - jel használható!" sqref="E5:G9 E13:G17 E21:G25 E29:G33 E37:G41 E45:G49 E53:G57 E61:G65 E69:G73 E77:G81 E85:G89 E93:G97 E109:G113 E117:G121 E125:G129 E133:G137 E141:G145 E149:G153 E157:G161 E165:G169 E173:G177 E181:G185 E189:G193 E197:G201" xr:uid="{00000000-0002-0000-0200-000001000000}">
      <formula1>REGEXMATCH(E5,"^\d{1,2},\d{2}$|^x$|^X$|^-$")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headerFooter>
    <oddHeader>&amp;C2025-26. TANÉVI ATLÉTIKA ÜCSB DIÁKOLIMPIA&amp;RVÁRMEGYEI JEGYZŐKÖNYV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73763"/>
    <outlinePr summaryBelow="0" summaryRight="0"/>
  </sheetPr>
  <dimension ref="A1:AA1024"/>
  <sheetViews>
    <sheetView workbookViewId="0">
      <pane ySplit="3" topLeftCell="A4" activePane="bottomLeft" state="frozen"/>
      <selection pane="bottomLeft" activeCell="B5" sqref="B5"/>
    </sheetView>
  </sheetViews>
  <sheetFormatPr defaultColWidth="12.6640625" defaultRowHeight="15.75" customHeight="1" x14ac:dyDescent="0.25"/>
  <cols>
    <col min="1" max="1" width="4.21875" customWidth="1"/>
    <col min="2" max="2" width="3.21875" customWidth="1"/>
    <col min="3" max="3" width="22.44140625" customWidth="1"/>
    <col min="4" max="4" width="6.44140625" customWidth="1"/>
    <col min="5" max="7" width="7.109375" customWidth="1"/>
    <col min="8" max="8" width="6.88671875" customWidth="1"/>
    <col min="10" max="10" width="8.21875" customWidth="1"/>
  </cols>
  <sheetData>
    <row r="1" spans="1:27" ht="25.8" x14ac:dyDescent="0.8">
      <c r="A1" s="1" t="s">
        <v>367</v>
      </c>
      <c r="B1" s="2"/>
      <c r="C1" s="3"/>
      <c r="D1" s="4"/>
      <c r="E1" s="5"/>
      <c r="F1" s="5"/>
      <c r="G1" s="5"/>
      <c r="H1" s="55"/>
      <c r="I1" s="56"/>
      <c r="J1" s="8"/>
    </row>
    <row r="2" spans="1:27" ht="16.2" x14ac:dyDescent="0.5">
      <c r="A2" s="9" t="s">
        <v>1</v>
      </c>
      <c r="B2" s="9" t="s">
        <v>2</v>
      </c>
      <c r="C2" s="11"/>
      <c r="D2" s="12" t="s">
        <v>3</v>
      </c>
      <c r="E2" s="12" t="s">
        <v>74</v>
      </c>
      <c r="F2" s="12" t="s">
        <v>75</v>
      </c>
      <c r="G2" s="12" t="s">
        <v>76</v>
      </c>
      <c r="H2" s="57" t="s">
        <v>77</v>
      </c>
      <c r="I2" s="14" t="s">
        <v>6</v>
      </c>
      <c r="J2" s="15" t="s">
        <v>7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13.2" x14ac:dyDescent="0.25">
      <c r="A3" s="17"/>
      <c r="B3" s="17"/>
      <c r="D3" s="18"/>
      <c r="E3" s="18"/>
      <c r="F3" s="18"/>
      <c r="G3" s="18"/>
      <c r="H3" s="58"/>
      <c r="I3" s="21"/>
      <c r="J3" s="22"/>
    </row>
    <row r="4" spans="1:27" ht="15.6" x14ac:dyDescent="0.25">
      <c r="A4" s="23">
        <v>1</v>
      </c>
      <c r="B4" s="97" t="s">
        <v>109</v>
      </c>
      <c r="C4" s="98"/>
      <c r="D4" s="98"/>
      <c r="E4" s="98"/>
      <c r="F4" s="98"/>
      <c r="G4" s="99"/>
      <c r="H4" s="59"/>
      <c r="I4" s="25">
        <f ca="1">IF(COUNTIFS(H5:H9,"&gt;0") &gt; 3, FLOOR((SUM(H5:H9)-MIN(H5,H6,H7,H8,H9))/4,0.0001), )</f>
        <v>49.615000000000002</v>
      </c>
      <c r="J4" s="26">
        <f ca="1">IF(I4=0,"",RANK(I4,$I$4:$I$224,))</f>
        <v>1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8.75" customHeight="1" x14ac:dyDescent="0.25">
      <c r="A5" s="17"/>
      <c r="B5" s="28">
        <v>1</v>
      </c>
      <c r="C5" s="29" t="s">
        <v>115</v>
      </c>
      <c r="D5" s="30" t="s">
        <v>41</v>
      </c>
      <c r="E5" s="60" t="s">
        <v>368</v>
      </c>
      <c r="F5" s="60" t="s">
        <v>369</v>
      </c>
      <c r="G5" s="60" t="s">
        <v>369</v>
      </c>
      <c r="H5" s="61">
        <f ca="1">IFERROR(__xludf.DUMMYFUNCTION("MAX(IF(REGEXMATCH(E5,""^\d{1,2},\d{2}$""),VALUE(E5),0),IF(REGEXMATCH(F5,""^\d{1,2},\d{2}$""),VALUE(F5),0),IF(REGEXMATCH(G5,""^\d{1,2},\d{2}$""),VALUE(G5),0))"),49.14)</f>
        <v>49.14</v>
      </c>
      <c r="I5" s="21"/>
      <c r="J5" s="22"/>
    </row>
    <row r="6" spans="1:27" ht="18.75" customHeight="1" x14ac:dyDescent="0.25">
      <c r="A6" s="17"/>
      <c r="B6" s="28">
        <v>2</v>
      </c>
      <c r="C6" s="29" t="s">
        <v>370</v>
      </c>
      <c r="D6" s="30" t="s">
        <v>371</v>
      </c>
      <c r="E6" s="60" t="s">
        <v>372</v>
      </c>
      <c r="F6" s="60" t="s">
        <v>369</v>
      </c>
      <c r="G6" s="60" t="s">
        <v>369</v>
      </c>
      <c r="H6" s="61">
        <f ca="1">IFERROR(__xludf.DUMMYFUNCTION("MAX(IF(REGEXMATCH(E6,""^\d{1,2},\d{2}$""),VALUE(E6),0),IF(REGEXMATCH(F6,""^\d{1,2},\d{2}$""),VALUE(F6),0),IF(REGEXMATCH(G6,""^\d{1,2},\d{2}$""),VALUE(G6),0))"),42.38)</f>
        <v>42.38</v>
      </c>
      <c r="I6" s="21"/>
      <c r="J6" s="22"/>
    </row>
    <row r="7" spans="1:27" ht="18.75" customHeight="1" x14ac:dyDescent="0.25">
      <c r="A7" s="17"/>
      <c r="B7" s="28">
        <v>3</v>
      </c>
      <c r="C7" s="29" t="s">
        <v>111</v>
      </c>
      <c r="D7" s="30" t="s">
        <v>10</v>
      </c>
      <c r="E7" s="60" t="s">
        <v>373</v>
      </c>
      <c r="F7" s="60" t="s">
        <v>369</v>
      </c>
      <c r="G7" s="60" t="s">
        <v>369</v>
      </c>
      <c r="H7" s="61">
        <f ca="1">IFERROR(__xludf.DUMMYFUNCTION("MAX(IF(REGEXMATCH(E7,""^\d{1,2},\d{2}$""),VALUE(E7),0),IF(REGEXMATCH(F7,""^\d{1,2},\d{2}$""),VALUE(F7),0),IF(REGEXMATCH(G7,""^\d{1,2},\d{2}$""),VALUE(G7),0))"),44.93)</f>
        <v>44.93</v>
      </c>
      <c r="I7" s="21"/>
      <c r="J7" s="22"/>
    </row>
    <row r="8" spans="1:27" ht="18.75" customHeight="1" x14ac:dyDescent="0.25">
      <c r="A8" s="17"/>
      <c r="B8" s="28">
        <v>4</v>
      </c>
      <c r="C8" s="29" t="s">
        <v>270</v>
      </c>
      <c r="D8" s="30" t="s">
        <v>15</v>
      </c>
      <c r="E8" s="60" t="s">
        <v>374</v>
      </c>
      <c r="F8" s="60" t="s">
        <v>369</v>
      </c>
      <c r="G8" s="60" t="s">
        <v>369</v>
      </c>
      <c r="H8" s="61">
        <f ca="1">IFERROR(__xludf.DUMMYFUNCTION("MAX(IF(REGEXMATCH(E8,""^\d{1,2},\d{2}$""),VALUE(E8),0),IF(REGEXMATCH(F8,""^\d{1,2},\d{2}$""),VALUE(F8),0),IF(REGEXMATCH(G8,""^\d{1,2},\d{2}$""),VALUE(G8),0))"),55.38)</f>
        <v>55.38</v>
      </c>
      <c r="I8" s="21"/>
      <c r="J8" s="22"/>
    </row>
    <row r="9" spans="1:27" ht="18.75" customHeight="1" x14ac:dyDescent="0.25">
      <c r="A9" s="17"/>
      <c r="B9" s="28">
        <v>5</v>
      </c>
      <c r="C9" s="29" t="s">
        <v>121</v>
      </c>
      <c r="D9" s="30" t="s">
        <v>15</v>
      </c>
      <c r="E9" s="60" t="s">
        <v>375</v>
      </c>
      <c r="F9" s="60" t="s">
        <v>369</v>
      </c>
      <c r="G9" s="60" t="s">
        <v>369</v>
      </c>
      <c r="H9" s="61">
        <f ca="1">IFERROR(__xludf.DUMMYFUNCTION("MAX(IF(REGEXMATCH(E9,""^\d{1,2},\d{2}$""),VALUE(E9),0),IF(REGEXMATCH(F9,""^\d{1,2},\d{2}$""),VALUE(F9),0),IF(REGEXMATCH(G9,""^\d{1,2},\d{2}$""),VALUE(G9),0))"),49.01)</f>
        <v>49.01</v>
      </c>
      <c r="I9" s="21"/>
      <c r="J9" s="22"/>
    </row>
    <row r="10" spans="1:27" ht="13.2" x14ac:dyDescent="0.25">
      <c r="A10" s="17"/>
      <c r="B10" s="62" t="s">
        <v>18</v>
      </c>
      <c r="C10" s="36"/>
      <c r="D10" s="37" t="s">
        <v>125</v>
      </c>
      <c r="E10" s="38"/>
      <c r="F10" s="38"/>
      <c r="G10" s="38"/>
      <c r="H10" s="63"/>
      <c r="I10" s="21"/>
      <c r="J10" s="22"/>
    </row>
    <row r="11" spans="1:27" ht="13.2" x14ac:dyDescent="0.25">
      <c r="A11" s="17"/>
      <c r="B11" s="17"/>
      <c r="D11" s="18"/>
      <c r="E11" s="18"/>
      <c r="F11" s="18"/>
      <c r="G11" s="18"/>
      <c r="H11" s="58"/>
      <c r="I11" s="21"/>
      <c r="J11" s="22"/>
    </row>
    <row r="12" spans="1:27" ht="15.6" x14ac:dyDescent="0.25">
      <c r="A12" s="23">
        <v>2</v>
      </c>
      <c r="B12" s="97" t="s">
        <v>54</v>
      </c>
      <c r="C12" s="98"/>
      <c r="D12" s="98"/>
      <c r="E12" s="98"/>
      <c r="F12" s="98"/>
      <c r="G12" s="98"/>
      <c r="H12" s="59"/>
      <c r="I12" s="25">
        <f ca="1">IF(COUNTIFS(H13:H17,"&gt;0") &gt; 3, FLOOR((SUM(H13:H17)-MIN(H13,H14,H15,H16,H17))/4,0.0001), )</f>
        <v>49.462500000000006</v>
      </c>
      <c r="J12" s="26">
        <f ca="1">IF(I12=0,"",RANK(I12,$I$4:$I$224,))</f>
        <v>2</v>
      </c>
    </row>
    <row r="13" spans="1:27" ht="18.75" customHeight="1" x14ac:dyDescent="0.25">
      <c r="A13" s="17"/>
      <c r="B13" s="28">
        <v>1</v>
      </c>
      <c r="C13" s="29" t="s">
        <v>275</v>
      </c>
      <c r="D13" s="30" t="s">
        <v>15</v>
      </c>
      <c r="E13" s="60" t="s">
        <v>376</v>
      </c>
      <c r="F13" s="60"/>
      <c r="G13" s="60"/>
      <c r="H13" s="61">
        <f ca="1">IFERROR(__xludf.DUMMYFUNCTION("MAX(IF(REGEXMATCH(E13,""^\d{1,2},\d{2}$""),VALUE(E13),0),IF(REGEXMATCH(F13,""^\d{1,2},\d{2}$""),VALUE(F13),0),IF(REGEXMATCH(G13,""^\d{1,2},\d{2}$""),VALUE(G13),0))"),45.1)</f>
        <v>45.1</v>
      </c>
      <c r="I13" s="21"/>
      <c r="J13" s="22"/>
    </row>
    <row r="14" spans="1:27" ht="18.75" customHeight="1" x14ac:dyDescent="0.25">
      <c r="A14" s="17"/>
      <c r="B14" s="28">
        <v>2</v>
      </c>
      <c r="C14" s="29" t="s">
        <v>377</v>
      </c>
      <c r="D14" s="30" t="s">
        <v>15</v>
      </c>
      <c r="E14" s="60" t="s">
        <v>378</v>
      </c>
      <c r="F14" s="60"/>
      <c r="G14" s="60"/>
      <c r="H14" s="61">
        <f ca="1">IFERROR(__xludf.DUMMYFUNCTION("MAX(IF(REGEXMATCH(E14,""^\d{1,2},\d{2}$""),VALUE(E14),0),IF(REGEXMATCH(F14,""^\d{1,2},\d{2}$""),VALUE(F14),0),IF(REGEXMATCH(G14,""^\d{1,2},\d{2}$""),VALUE(G14),0))"),50.85)</f>
        <v>50.85</v>
      </c>
      <c r="I14" s="21"/>
      <c r="J14" s="22"/>
    </row>
    <row r="15" spans="1:27" ht="18.75" customHeight="1" x14ac:dyDescent="0.25">
      <c r="A15" s="17"/>
      <c r="B15" s="28">
        <v>3</v>
      </c>
      <c r="C15" s="29" t="s">
        <v>281</v>
      </c>
      <c r="D15" s="30" t="s">
        <v>10</v>
      </c>
      <c r="E15" s="60" t="s">
        <v>379</v>
      </c>
      <c r="F15" s="60"/>
      <c r="G15" s="60"/>
      <c r="H15" s="61">
        <f ca="1">IFERROR(__xludf.DUMMYFUNCTION("MAX(IF(REGEXMATCH(E15,""^\d{1,2},\d{2}$""),VALUE(E15),0),IF(REGEXMATCH(F15,""^\d{1,2},\d{2}$""),VALUE(F15),0),IF(REGEXMATCH(G15,""^\d{1,2},\d{2}$""),VALUE(G15),0))"),38.94)</f>
        <v>38.94</v>
      </c>
      <c r="I15" s="21"/>
      <c r="J15" s="22"/>
    </row>
    <row r="16" spans="1:27" ht="18.75" customHeight="1" x14ac:dyDescent="0.25">
      <c r="A16" s="17"/>
      <c r="B16" s="28">
        <v>4</v>
      </c>
      <c r="C16" s="29" t="s">
        <v>284</v>
      </c>
      <c r="D16" s="30" t="s">
        <v>15</v>
      </c>
      <c r="E16" s="60" t="s">
        <v>380</v>
      </c>
      <c r="F16" s="60"/>
      <c r="G16" s="60"/>
      <c r="H16" s="61">
        <f ca="1">IFERROR(__xludf.DUMMYFUNCTION("MAX(IF(REGEXMATCH(E16,""^\d{1,2},\d{2}$""),VALUE(E16),0),IF(REGEXMATCH(F16,""^\d{1,2},\d{2}$""),VALUE(F16),0),IF(REGEXMATCH(G16,""^\d{1,2},\d{2}$""),VALUE(G16),0))"),45.24)</f>
        <v>45.24</v>
      </c>
      <c r="I16" s="21"/>
      <c r="J16" s="22"/>
    </row>
    <row r="17" spans="1:10" ht="18.75" customHeight="1" x14ac:dyDescent="0.25">
      <c r="A17" s="17"/>
      <c r="B17" s="28">
        <v>5</v>
      </c>
      <c r="C17" s="29" t="s">
        <v>287</v>
      </c>
      <c r="D17" s="30" t="s">
        <v>10</v>
      </c>
      <c r="E17" s="60" t="s">
        <v>381</v>
      </c>
      <c r="F17" s="60"/>
      <c r="G17" s="60"/>
      <c r="H17" s="61">
        <f ca="1">IFERROR(__xludf.DUMMYFUNCTION("MAX(IF(REGEXMATCH(E17,""^\d{1,2},\d{2}$""),VALUE(E17),0),IF(REGEXMATCH(F17,""^\d{1,2},\d{2}$""),VALUE(F17),0),IF(REGEXMATCH(G17,""^\d{1,2},\d{2}$""),VALUE(G17),0))"),56.66)</f>
        <v>56.66</v>
      </c>
      <c r="I17" s="21"/>
      <c r="J17" s="22"/>
    </row>
    <row r="18" spans="1:10" ht="13.2" x14ac:dyDescent="0.25">
      <c r="A18" s="17"/>
      <c r="B18" s="62" t="s">
        <v>18</v>
      </c>
      <c r="C18" s="36"/>
      <c r="D18" s="44" t="s">
        <v>61</v>
      </c>
      <c r="E18" s="38"/>
      <c r="F18" s="38"/>
      <c r="G18" s="38"/>
      <c r="H18" s="63"/>
      <c r="I18" s="21"/>
      <c r="J18" s="22"/>
    </row>
    <row r="19" spans="1:10" ht="13.2" x14ac:dyDescent="0.25">
      <c r="A19" s="17"/>
      <c r="B19" s="17"/>
      <c r="D19" s="18"/>
      <c r="E19" s="18"/>
      <c r="F19" s="18"/>
      <c r="G19" s="18"/>
      <c r="H19" s="58"/>
      <c r="I19" s="21"/>
      <c r="J19" s="22"/>
    </row>
    <row r="20" spans="1:10" ht="15.6" x14ac:dyDescent="0.25">
      <c r="A20" s="23">
        <v>3</v>
      </c>
      <c r="B20" s="97" t="s">
        <v>126</v>
      </c>
      <c r="C20" s="98"/>
      <c r="D20" s="98"/>
      <c r="E20" s="98"/>
      <c r="F20" s="98"/>
      <c r="G20" s="98"/>
      <c r="H20" s="59"/>
      <c r="I20" s="25">
        <f ca="1">IF(COUNTIFS(H21:H25,"&gt;0") &gt; 3, FLOOR((SUM(H21:H25)-MIN(H21,H22,H23,H24,H25))/4,0.0001), )</f>
        <v>48.79</v>
      </c>
      <c r="J20" s="26">
        <f ca="1">IF(I20=0,"",RANK(I20,$I$4:$I$224,))</f>
        <v>3</v>
      </c>
    </row>
    <row r="21" spans="1:10" ht="13.2" x14ac:dyDescent="0.25">
      <c r="A21" s="17"/>
      <c r="B21" s="28">
        <v>1</v>
      </c>
      <c r="C21" s="29" t="s">
        <v>291</v>
      </c>
      <c r="D21" s="30" t="s">
        <v>10</v>
      </c>
      <c r="E21" s="60" t="s">
        <v>382</v>
      </c>
      <c r="F21" s="60"/>
      <c r="G21" s="60"/>
      <c r="H21" s="61">
        <f ca="1">IFERROR(__xludf.DUMMYFUNCTION("MAX(IF(REGEXMATCH(E21,""^\d{1,2},\d{2}$""),VALUE(E21),0),IF(REGEXMATCH(F21,""^\d{1,2},\d{2}$""),VALUE(F21),0),IF(REGEXMATCH(G21,""^\d{1,2},\d{2}$""),VALUE(G21),0))"),53.05)</f>
        <v>53.05</v>
      </c>
      <c r="I21" s="21"/>
      <c r="J21" s="22"/>
    </row>
    <row r="22" spans="1:10" ht="13.2" x14ac:dyDescent="0.25">
      <c r="A22" s="17"/>
      <c r="B22" s="28">
        <v>2</v>
      </c>
      <c r="C22" s="29" t="s">
        <v>300</v>
      </c>
      <c r="D22" s="30" t="s">
        <v>15</v>
      </c>
      <c r="E22" s="60" t="s">
        <v>383</v>
      </c>
      <c r="F22" s="60"/>
      <c r="G22" s="60"/>
      <c r="H22" s="61">
        <f ca="1">IFERROR(__xludf.DUMMYFUNCTION("MAX(IF(REGEXMATCH(E22,""^\d{1,2},\d{2}$""),VALUE(E22),0),IF(REGEXMATCH(F22,""^\d{1,2},\d{2}$""),VALUE(F22),0),IF(REGEXMATCH(G22,""^\d{1,2},\d{2}$""),VALUE(G22),0))"),38.7)</f>
        <v>38.700000000000003</v>
      </c>
      <c r="I22" s="21"/>
      <c r="J22" s="22"/>
    </row>
    <row r="23" spans="1:10" ht="13.2" x14ac:dyDescent="0.25">
      <c r="A23" s="17"/>
      <c r="B23" s="28">
        <v>3</v>
      </c>
      <c r="C23" s="29" t="s">
        <v>384</v>
      </c>
      <c r="D23" s="30" t="s">
        <v>10</v>
      </c>
      <c r="E23" s="60" t="s">
        <v>385</v>
      </c>
      <c r="F23" s="60"/>
      <c r="G23" s="60"/>
      <c r="H23" s="61">
        <f ca="1">IFERROR(__xludf.DUMMYFUNCTION("MAX(IF(REGEXMATCH(E23,""^\d{1,2},\d{2}$""),VALUE(E23),0),IF(REGEXMATCH(F23,""^\d{1,2},\d{2}$""),VALUE(F23),0),IF(REGEXMATCH(G23,""^\d{1,2},\d{2}$""),VALUE(G23),0))"),47.15)</f>
        <v>47.15</v>
      </c>
      <c r="I23" s="21"/>
      <c r="J23" s="22"/>
    </row>
    <row r="24" spans="1:10" ht="13.2" x14ac:dyDescent="0.25">
      <c r="A24" s="17"/>
      <c r="B24" s="28">
        <v>4</v>
      </c>
      <c r="C24" s="29" t="s">
        <v>386</v>
      </c>
      <c r="D24" s="30" t="s">
        <v>10</v>
      </c>
      <c r="E24" s="60" t="s">
        <v>387</v>
      </c>
      <c r="F24" s="60"/>
      <c r="G24" s="60"/>
      <c r="H24" s="61">
        <f ca="1">IFERROR(__xludf.DUMMYFUNCTION("MAX(IF(REGEXMATCH(E24,""^\d{1,2},\d{2}$""),VALUE(E24),0),IF(REGEXMATCH(F24,""^\d{1,2},\d{2}$""),VALUE(F24),0),IF(REGEXMATCH(G24,""^\d{1,2},\d{2}$""),VALUE(G24),0))"),45.86)</f>
        <v>45.86</v>
      </c>
      <c r="I24" s="21"/>
      <c r="J24" s="22"/>
    </row>
    <row r="25" spans="1:10" ht="13.2" x14ac:dyDescent="0.25">
      <c r="A25" s="17"/>
      <c r="B25" s="28">
        <v>5</v>
      </c>
      <c r="C25" s="29" t="s">
        <v>131</v>
      </c>
      <c r="D25" s="30" t="s">
        <v>10</v>
      </c>
      <c r="E25" s="60" t="s">
        <v>388</v>
      </c>
      <c r="F25" s="60"/>
      <c r="G25" s="60"/>
      <c r="H25" s="61">
        <f ca="1">IFERROR(__xludf.DUMMYFUNCTION("MAX(IF(REGEXMATCH(E25,""^\d{1,2},\d{2}$""),VALUE(E25),0),IF(REGEXMATCH(F25,""^\d{1,2},\d{2}$""),VALUE(F25),0),IF(REGEXMATCH(G25,""^\d{1,2},\d{2}$""),VALUE(G25),0))"),49.1)</f>
        <v>49.1</v>
      </c>
      <c r="I25" s="21"/>
      <c r="J25" s="22"/>
    </row>
    <row r="26" spans="1:10" ht="13.2" x14ac:dyDescent="0.25">
      <c r="A26" s="17"/>
      <c r="B26" s="62" t="s">
        <v>18</v>
      </c>
      <c r="C26" s="36"/>
      <c r="D26" s="44" t="s">
        <v>305</v>
      </c>
      <c r="E26" s="38"/>
      <c r="F26" s="38"/>
      <c r="G26" s="38"/>
      <c r="H26" s="63"/>
      <c r="I26" s="21"/>
      <c r="J26" s="22"/>
    </row>
    <row r="27" spans="1:10" ht="13.2" x14ac:dyDescent="0.25">
      <c r="A27" s="17"/>
      <c r="B27" s="17"/>
      <c r="D27" s="18"/>
      <c r="E27" s="18"/>
      <c r="F27" s="18"/>
      <c r="G27" s="18"/>
      <c r="H27" s="58"/>
      <c r="I27" s="21"/>
      <c r="J27" s="22"/>
    </row>
    <row r="28" spans="1:10" ht="15.6" x14ac:dyDescent="0.25">
      <c r="A28" s="23">
        <v>4</v>
      </c>
      <c r="B28" s="97" t="s">
        <v>37</v>
      </c>
      <c r="C28" s="98"/>
      <c r="D28" s="98"/>
      <c r="E28" s="98"/>
      <c r="F28" s="98"/>
      <c r="G28" s="98"/>
      <c r="H28" s="59"/>
      <c r="I28" s="25">
        <f ca="1">IF(COUNTIFS(H29:H33,"&gt;0") &gt; 3, FLOOR((SUM(H29:H33)-MIN(H29,H30,H31,H32,H33))/4,0.0001), )</f>
        <v>48.167500000000004</v>
      </c>
      <c r="J28" s="26">
        <f ca="1">IF(I28=0,"",RANK(I28,$I$4:$I$224,))</f>
        <v>4</v>
      </c>
    </row>
    <row r="29" spans="1:10" ht="13.2" x14ac:dyDescent="0.25">
      <c r="A29" s="17"/>
      <c r="B29" s="28">
        <v>1</v>
      </c>
      <c r="C29" s="29" t="s">
        <v>38</v>
      </c>
      <c r="D29" s="30" t="s">
        <v>10</v>
      </c>
      <c r="E29" s="60" t="s">
        <v>389</v>
      </c>
      <c r="F29" s="60"/>
      <c r="G29" s="60"/>
      <c r="H29" s="61">
        <f ca="1">IFERROR(__xludf.DUMMYFUNCTION("MAX(IF(REGEXMATCH(E29,""^\d{1,2},\d{2}$""),VALUE(E29),0),IF(REGEXMATCH(F29,""^\d{1,2},\d{2}$""),VALUE(F29),0),IF(REGEXMATCH(G29,""^\d{1,2},\d{2}$""),VALUE(G29),0))"),46.7)</f>
        <v>46.7</v>
      </c>
      <c r="I29" s="21"/>
      <c r="J29" s="22"/>
    </row>
    <row r="30" spans="1:10" ht="13.2" x14ac:dyDescent="0.25">
      <c r="A30" s="17"/>
      <c r="B30" s="28">
        <v>2</v>
      </c>
      <c r="C30" s="29" t="s">
        <v>164</v>
      </c>
      <c r="D30" s="30" t="s">
        <v>15</v>
      </c>
      <c r="E30" s="60" t="s">
        <v>390</v>
      </c>
      <c r="F30" s="60"/>
      <c r="G30" s="60"/>
      <c r="H30" s="61">
        <f ca="1">IFERROR(__xludf.DUMMYFUNCTION("MAX(IF(REGEXMATCH(E30,""^\d{1,2},\d{2}$""),VALUE(E30),0),IF(REGEXMATCH(F30,""^\d{1,2},\d{2}$""),VALUE(F30),0),IF(REGEXMATCH(G30,""^\d{1,2},\d{2}$""),VALUE(G30),0))"),48.96)</f>
        <v>48.96</v>
      </c>
      <c r="I30" s="21"/>
      <c r="J30" s="22"/>
    </row>
    <row r="31" spans="1:10" ht="13.2" x14ac:dyDescent="0.25">
      <c r="A31" s="17"/>
      <c r="B31" s="28">
        <v>3</v>
      </c>
      <c r="C31" s="29" t="s">
        <v>39</v>
      </c>
      <c r="D31" s="30" t="s">
        <v>15</v>
      </c>
      <c r="E31" s="60" t="s">
        <v>391</v>
      </c>
      <c r="F31" s="60"/>
      <c r="G31" s="60"/>
      <c r="H31" s="61">
        <f ca="1">IFERROR(__xludf.DUMMYFUNCTION("MAX(IF(REGEXMATCH(E31,""^\d{1,2},\d{2}$""),VALUE(E31),0),IF(REGEXMATCH(F31,""^\d{1,2},\d{2}$""),VALUE(F31),0),IF(REGEXMATCH(G31,""^\d{1,2},\d{2}$""),VALUE(G31),0))"),48.64)</f>
        <v>48.64</v>
      </c>
      <c r="I31" s="21"/>
      <c r="J31" s="22"/>
    </row>
    <row r="32" spans="1:10" ht="13.2" x14ac:dyDescent="0.25">
      <c r="A32" s="17"/>
      <c r="B32" s="28">
        <v>4</v>
      </c>
      <c r="C32" s="29" t="s">
        <v>40</v>
      </c>
      <c r="D32" s="30" t="s">
        <v>41</v>
      </c>
      <c r="E32" s="60" t="s">
        <v>392</v>
      </c>
      <c r="F32" s="60"/>
      <c r="G32" s="60"/>
      <c r="H32" s="61">
        <f ca="1">IFERROR(__xludf.DUMMYFUNCTION("MAX(IF(REGEXMATCH(E32,""^\d{1,2},\d{2}$""),VALUE(E32),0),IF(REGEXMATCH(F32,""^\d{1,2},\d{2}$""),VALUE(F32),0),IF(REGEXMATCH(G32,""^\d{1,2},\d{2}$""),VALUE(G32),0))"),48.37)</f>
        <v>48.37</v>
      </c>
      <c r="I32" s="21"/>
      <c r="J32" s="22"/>
    </row>
    <row r="33" spans="1:10" ht="13.2" x14ac:dyDescent="0.25">
      <c r="A33" s="17"/>
      <c r="B33" s="28">
        <v>5</v>
      </c>
      <c r="C33" s="29" t="s">
        <v>168</v>
      </c>
      <c r="D33" s="30" t="s">
        <v>15</v>
      </c>
      <c r="E33" s="60" t="s">
        <v>393</v>
      </c>
      <c r="F33" s="60"/>
      <c r="G33" s="60"/>
      <c r="H33" s="61">
        <f ca="1">IFERROR(__xludf.DUMMYFUNCTION("MAX(IF(REGEXMATCH(E33,""^\d{1,2},\d{2}$""),VALUE(E33),0),IF(REGEXMATCH(F33,""^\d{1,2},\d{2}$""),VALUE(F33),0),IF(REGEXMATCH(G33,""^\d{1,2},\d{2}$""),VALUE(G33),0))"),45.2)</f>
        <v>45.2</v>
      </c>
      <c r="I33" s="21"/>
      <c r="J33" s="22"/>
    </row>
    <row r="34" spans="1:10" ht="13.2" x14ac:dyDescent="0.25">
      <c r="A34" s="17"/>
      <c r="B34" s="62" t="s">
        <v>18</v>
      </c>
      <c r="C34" s="36"/>
      <c r="D34" s="44" t="s">
        <v>45</v>
      </c>
      <c r="E34" s="38"/>
      <c r="F34" s="38"/>
      <c r="G34" s="38"/>
      <c r="H34" s="63"/>
      <c r="I34" s="21"/>
      <c r="J34" s="22"/>
    </row>
    <row r="35" spans="1:10" ht="13.2" x14ac:dyDescent="0.25">
      <c r="A35" s="17"/>
      <c r="B35" s="17"/>
      <c r="D35" s="18"/>
      <c r="E35" s="18"/>
      <c r="F35" s="18"/>
      <c r="G35" s="18"/>
      <c r="H35" s="58"/>
      <c r="I35" s="21"/>
      <c r="J35" s="22"/>
    </row>
    <row r="36" spans="1:10" ht="15.6" x14ac:dyDescent="0.25">
      <c r="A36" s="23">
        <v>5</v>
      </c>
      <c r="B36" s="97" t="s">
        <v>46</v>
      </c>
      <c r="C36" s="98"/>
      <c r="D36" s="98"/>
      <c r="E36" s="98"/>
      <c r="F36" s="98"/>
      <c r="G36" s="98"/>
      <c r="H36" s="59"/>
      <c r="I36" s="25">
        <f ca="1">IF(COUNTIFS(H37:H41,"&gt;0") &gt; 3, FLOOR((SUM(H37:H41)-MIN(H37,H38,H39,H40,H41))/4,0.0001), )</f>
        <v>46.765000000000001</v>
      </c>
      <c r="J36" s="26">
        <f ca="1">IF(I36=0,"",RANK(I36,$I$4:$I$224,))</f>
        <v>5</v>
      </c>
    </row>
    <row r="37" spans="1:10" ht="13.2" x14ac:dyDescent="0.25">
      <c r="A37" s="17"/>
      <c r="B37" s="28">
        <v>1</v>
      </c>
      <c r="C37" s="29" t="s">
        <v>48</v>
      </c>
      <c r="D37" s="30" t="s">
        <v>10</v>
      </c>
      <c r="E37" s="60" t="s">
        <v>394</v>
      </c>
      <c r="F37" s="60"/>
      <c r="G37" s="60"/>
      <c r="H37" s="61">
        <f ca="1">IFERROR(__xludf.DUMMYFUNCTION("MAX(IF(REGEXMATCH(E37,""^\d{1,2},\d{2}$""),VALUE(E37),0),IF(REGEXMATCH(F37,""^\d{1,2},\d{2}$""),VALUE(F37),0),IF(REGEXMATCH(G37,""^\d{1,2},\d{2}$""),VALUE(G37),0))"),50.22)</f>
        <v>50.22</v>
      </c>
      <c r="I37" s="21"/>
      <c r="J37" s="22"/>
    </row>
    <row r="38" spans="1:10" ht="13.2" x14ac:dyDescent="0.25">
      <c r="A38" s="17"/>
      <c r="B38" s="28">
        <v>2</v>
      </c>
      <c r="C38" s="29" t="s">
        <v>47</v>
      </c>
      <c r="D38" s="30" t="s">
        <v>10</v>
      </c>
      <c r="E38" s="60" t="s">
        <v>395</v>
      </c>
      <c r="F38" s="60"/>
      <c r="G38" s="60"/>
      <c r="H38" s="61">
        <f ca="1">IFERROR(__xludf.DUMMYFUNCTION("MAX(IF(REGEXMATCH(E38,""^\d{1,2},\d{2}$""),VALUE(E38),0),IF(REGEXMATCH(F38,""^\d{1,2},\d{2}$""),VALUE(F38),0),IF(REGEXMATCH(G38,""^\d{1,2},\d{2}$""),VALUE(G38),0))"),47.97)</f>
        <v>47.97</v>
      </c>
      <c r="I38" s="21"/>
      <c r="J38" s="22"/>
    </row>
    <row r="39" spans="1:10" ht="13.2" x14ac:dyDescent="0.25">
      <c r="A39" s="17"/>
      <c r="B39" s="28">
        <v>3</v>
      </c>
      <c r="C39" s="29" t="s">
        <v>51</v>
      </c>
      <c r="D39" s="30" t="s">
        <v>15</v>
      </c>
      <c r="E39" s="60" t="s">
        <v>396</v>
      </c>
      <c r="F39" s="60"/>
      <c r="G39" s="60"/>
      <c r="H39" s="61">
        <f ca="1">IFERROR(__xludf.DUMMYFUNCTION("MAX(IF(REGEXMATCH(E39,""^\d{1,2},\d{2}$""),VALUE(E39),0),IF(REGEXMATCH(F39,""^\d{1,2},\d{2}$""),VALUE(F39),0),IF(REGEXMATCH(G39,""^\d{1,2},\d{2}$""),VALUE(G39),0))"),49.85)</f>
        <v>49.85</v>
      </c>
      <c r="I39" s="21"/>
      <c r="J39" s="22"/>
    </row>
    <row r="40" spans="1:10" ht="13.2" x14ac:dyDescent="0.25">
      <c r="A40" s="17"/>
      <c r="B40" s="28">
        <v>4</v>
      </c>
      <c r="C40" s="29" t="s">
        <v>397</v>
      </c>
      <c r="D40" s="30" t="s">
        <v>41</v>
      </c>
      <c r="E40" s="60" t="s">
        <v>398</v>
      </c>
      <c r="F40" s="60"/>
      <c r="G40" s="60"/>
      <c r="H40" s="61">
        <f ca="1">IFERROR(__xludf.DUMMYFUNCTION("MAX(IF(REGEXMATCH(E40,""^\d{1,2},\d{2}$""),VALUE(E40),0),IF(REGEXMATCH(F40,""^\d{1,2},\d{2}$""),VALUE(F40),0),IF(REGEXMATCH(G40,""^\d{1,2},\d{2}$""),VALUE(G40),0))"),36.88)</f>
        <v>36.880000000000003</v>
      </c>
      <c r="I40" s="21"/>
      <c r="J40" s="22"/>
    </row>
    <row r="41" spans="1:10" ht="13.2" x14ac:dyDescent="0.25">
      <c r="A41" s="17"/>
      <c r="B41" s="28">
        <v>5</v>
      </c>
      <c r="C41" s="29" t="s">
        <v>52</v>
      </c>
      <c r="D41" s="30" t="s">
        <v>15</v>
      </c>
      <c r="E41" s="60" t="s">
        <v>399</v>
      </c>
      <c r="F41" s="60"/>
      <c r="G41" s="60"/>
      <c r="H41" s="61">
        <f ca="1">IFERROR(__xludf.DUMMYFUNCTION("MAX(IF(REGEXMATCH(E41,""^\d{1,2},\d{2}$""),VALUE(E41),0),IF(REGEXMATCH(F41,""^\d{1,2},\d{2}$""),VALUE(F41),0),IF(REGEXMATCH(G41,""^\d{1,2},\d{2}$""),VALUE(G41),0))"),39.02)</f>
        <v>39.020000000000003</v>
      </c>
      <c r="I41" s="21"/>
      <c r="J41" s="22"/>
    </row>
    <row r="42" spans="1:10" ht="13.2" x14ac:dyDescent="0.25">
      <c r="A42" s="17"/>
      <c r="B42" s="62" t="s">
        <v>18</v>
      </c>
      <c r="C42" s="36"/>
      <c r="D42" s="44" t="s">
        <v>53</v>
      </c>
      <c r="E42" s="38"/>
      <c r="F42" s="38"/>
      <c r="G42" s="38"/>
      <c r="H42" s="63"/>
      <c r="I42" s="21"/>
      <c r="J42" s="22"/>
    </row>
    <row r="43" spans="1:10" ht="13.2" x14ac:dyDescent="0.25">
      <c r="A43" s="17"/>
      <c r="B43" s="17"/>
      <c r="D43" s="18"/>
      <c r="E43" s="18"/>
      <c r="F43" s="18"/>
      <c r="G43" s="18"/>
      <c r="H43" s="58"/>
      <c r="I43" s="21"/>
      <c r="J43" s="22"/>
    </row>
    <row r="44" spans="1:10" ht="15.6" x14ac:dyDescent="0.25">
      <c r="A44" s="23">
        <v>6</v>
      </c>
      <c r="B44" s="97" t="s">
        <v>8</v>
      </c>
      <c r="C44" s="98"/>
      <c r="D44" s="98"/>
      <c r="E44" s="98"/>
      <c r="F44" s="98"/>
      <c r="G44" s="98"/>
      <c r="H44" s="59"/>
      <c r="I44" s="25">
        <f ca="1">IF(COUNTIFS(H45:H49,"&gt;0") &gt; 3, FLOOR((SUM(H45:H49)-MIN(H45,H46,H47,H48,H49))/4,0.0001), )</f>
        <v>45.52</v>
      </c>
      <c r="J44" s="26">
        <f ca="1">IF(I44=0,"",RANK(I44,$I$4:$I$224,))</f>
        <v>6</v>
      </c>
    </row>
    <row r="45" spans="1:10" ht="13.2" x14ac:dyDescent="0.25">
      <c r="A45" s="17"/>
      <c r="B45" s="28">
        <v>1</v>
      </c>
      <c r="C45" s="29" t="s">
        <v>9</v>
      </c>
      <c r="D45" s="30" t="s">
        <v>10</v>
      </c>
      <c r="E45" s="60" t="s">
        <v>400</v>
      </c>
      <c r="F45" s="60"/>
      <c r="G45" s="60"/>
      <c r="H45" s="61">
        <f ca="1">IFERROR(__xludf.DUMMYFUNCTION("MAX(IF(REGEXMATCH(E45,""^\d{1,2},\d{2}$""),VALUE(E45),0),IF(REGEXMATCH(F45,""^\d{1,2},\d{2}$""),VALUE(F45),0),IF(REGEXMATCH(G45,""^\d{1,2},\d{2}$""),VALUE(G45),0))"),47.87)</f>
        <v>47.87</v>
      </c>
      <c r="I45" s="21"/>
      <c r="J45" s="22"/>
    </row>
    <row r="46" spans="1:10" ht="13.2" x14ac:dyDescent="0.25">
      <c r="A46" s="17"/>
      <c r="B46" s="28">
        <v>2</v>
      </c>
      <c r="C46" s="29" t="s">
        <v>196</v>
      </c>
      <c r="D46" s="30" t="s">
        <v>10</v>
      </c>
      <c r="E46" s="60" t="s">
        <v>401</v>
      </c>
      <c r="F46" s="60"/>
      <c r="G46" s="60"/>
      <c r="H46" s="61">
        <f ca="1">IFERROR(__xludf.DUMMYFUNCTION("MAX(IF(REGEXMATCH(E46,""^\d{1,2},\d{2}$""),VALUE(E46),0),IF(REGEXMATCH(F46,""^\d{1,2},\d{2}$""),VALUE(F46),0),IF(REGEXMATCH(G46,""^\d{1,2},\d{2}$""),VALUE(G46),0))"),47.75)</f>
        <v>47.75</v>
      </c>
      <c r="I46" s="21"/>
      <c r="J46" s="22"/>
    </row>
    <row r="47" spans="1:10" ht="13.2" x14ac:dyDescent="0.25">
      <c r="A47" s="17"/>
      <c r="B47" s="28">
        <v>3</v>
      </c>
      <c r="C47" s="29" t="s">
        <v>176</v>
      </c>
      <c r="D47" s="30" t="s">
        <v>15</v>
      </c>
      <c r="E47" s="60" t="s">
        <v>402</v>
      </c>
      <c r="F47" s="60"/>
      <c r="G47" s="60"/>
      <c r="H47" s="61">
        <f ca="1">IFERROR(__xludf.DUMMYFUNCTION("MAX(IF(REGEXMATCH(E47,""^\d{1,2},\d{2}$""),VALUE(E47),0),IF(REGEXMATCH(F47,""^\d{1,2},\d{2}$""),VALUE(F47),0),IF(REGEXMATCH(G47,""^\d{1,2},\d{2}$""),VALUE(G47),0))"),42)</f>
        <v>42</v>
      </c>
      <c r="I47" s="21"/>
      <c r="J47" s="22"/>
    </row>
    <row r="48" spans="1:10" ht="13.2" x14ac:dyDescent="0.25">
      <c r="A48" s="17"/>
      <c r="B48" s="28">
        <v>4</v>
      </c>
      <c r="C48" s="29" t="s">
        <v>17</v>
      </c>
      <c r="D48" s="30" t="s">
        <v>10</v>
      </c>
      <c r="E48" s="60" t="s">
        <v>403</v>
      </c>
      <c r="F48" s="60"/>
      <c r="G48" s="60"/>
      <c r="H48" s="61">
        <f ca="1">IFERROR(__xludf.DUMMYFUNCTION("MAX(IF(REGEXMATCH(E48,""^\d{1,2},\d{2}$""),VALUE(E48),0),IF(REGEXMATCH(F48,""^\d{1,2},\d{2}$""),VALUE(F48),0),IF(REGEXMATCH(G48,""^\d{1,2},\d{2}$""),VALUE(G48),0))"),40.34)</f>
        <v>40.340000000000003</v>
      </c>
      <c r="I48" s="21"/>
      <c r="J48" s="22"/>
    </row>
    <row r="49" spans="1:10" ht="13.2" x14ac:dyDescent="0.25">
      <c r="A49" s="17"/>
      <c r="B49" s="28">
        <v>5</v>
      </c>
      <c r="C49" s="29" t="s">
        <v>178</v>
      </c>
      <c r="D49" s="30" t="s">
        <v>15</v>
      </c>
      <c r="E49" s="60" t="s">
        <v>404</v>
      </c>
      <c r="F49" s="60"/>
      <c r="G49" s="60"/>
      <c r="H49" s="61">
        <f ca="1">IFERROR(__xludf.DUMMYFUNCTION("MAX(IF(REGEXMATCH(E49,""^\d{1,2},\d{2}$""),VALUE(E49),0),IF(REGEXMATCH(F49,""^\d{1,2},\d{2}$""),VALUE(F49),0),IF(REGEXMATCH(G49,""^\d{1,2},\d{2}$""),VALUE(G49),0))"),44.46)</f>
        <v>44.46</v>
      </c>
      <c r="I49" s="21"/>
      <c r="J49" s="22"/>
    </row>
    <row r="50" spans="1:10" ht="13.2" x14ac:dyDescent="0.25">
      <c r="A50" s="17"/>
      <c r="B50" s="62" t="s">
        <v>18</v>
      </c>
      <c r="C50" s="36"/>
      <c r="D50" s="44" t="s">
        <v>19</v>
      </c>
      <c r="E50" s="38"/>
      <c r="F50" s="38"/>
      <c r="G50" s="38"/>
      <c r="H50" s="63"/>
      <c r="I50" s="21"/>
      <c r="J50" s="22"/>
    </row>
    <row r="51" spans="1:10" ht="13.2" x14ac:dyDescent="0.25">
      <c r="A51" s="17"/>
      <c r="B51" s="17"/>
      <c r="D51" s="18"/>
      <c r="E51" s="18"/>
      <c r="F51" s="18"/>
      <c r="G51" s="18"/>
      <c r="H51" s="58"/>
      <c r="I51" s="21"/>
      <c r="J51" s="22"/>
    </row>
    <row r="52" spans="1:10" ht="15.6" x14ac:dyDescent="0.25">
      <c r="A52" s="23">
        <v>7</v>
      </c>
      <c r="B52" s="97" t="s">
        <v>78</v>
      </c>
      <c r="C52" s="98"/>
      <c r="D52" s="98"/>
      <c r="E52" s="98"/>
      <c r="F52" s="98"/>
      <c r="G52" s="98"/>
      <c r="H52" s="59"/>
      <c r="I52" s="25">
        <f ca="1">IF(COUNTIFS(H53:H57,"&gt;0") &gt; 3, FLOOR((SUM(H53:H57)-MIN(H53,H54,H55,H56,H57))/4,0.0001), )</f>
        <v>44.355000000000004</v>
      </c>
      <c r="J52" s="26">
        <f ca="1">IF(I52=0,"",RANK(I52,$I$4:$I$224,))</f>
        <v>7</v>
      </c>
    </row>
    <row r="53" spans="1:10" ht="13.2" x14ac:dyDescent="0.25">
      <c r="A53" s="17"/>
      <c r="B53" s="28">
        <v>1</v>
      </c>
      <c r="C53" s="29" t="s">
        <v>405</v>
      </c>
      <c r="D53" s="30" t="s">
        <v>15</v>
      </c>
      <c r="E53" s="60" t="s">
        <v>406</v>
      </c>
      <c r="F53" s="60"/>
      <c r="G53" s="60"/>
      <c r="H53" s="61">
        <f ca="1">IFERROR(__xludf.DUMMYFUNCTION("MAX(IF(REGEXMATCH(E53,""^\d{1,2},\d{2}$""),VALUE(E53),0),IF(REGEXMATCH(F53,""^\d{1,2},\d{2}$""),VALUE(F53),0),IF(REGEXMATCH(G53,""^\d{1,2},\d{2}$""),VALUE(G53),0))"),34.61)</f>
        <v>34.61</v>
      </c>
      <c r="I53" s="21"/>
      <c r="J53" s="22"/>
    </row>
    <row r="54" spans="1:10" ht="13.2" x14ac:dyDescent="0.25">
      <c r="A54" s="17"/>
      <c r="B54" s="28">
        <v>2</v>
      </c>
      <c r="C54" s="29" t="s">
        <v>86</v>
      </c>
      <c r="D54" s="30" t="s">
        <v>10</v>
      </c>
      <c r="E54" s="60" t="s">
        <v>407</v>
      </c>
      <c r="F54" s="60"/>
      <c r="G54" s="60"/>
      <c r="H54" s="61">
        <f ca="1">IFERROR(__xludf.DUMMYFUNCTION("MAX(IF(REGEXMATCH(E54,""^\d{1,2},\d{2}$""),VALUE(E54),0),IF(REGEXMATCH(F54,""^\d{1,2},\d{2}$""),VALUE(F54),0),IF(REGEXMATCH(G54,""^\d{1,2},\d{2}$""),VALUE(G54),0))"),45.83)</f>
        <v>45.83</v>
      </c>
      <c r="I54" s="21"/>
      <c r="J54" s="22"/>
    </row>
    <row r="55" spans="1:10" ht="13.2" x14ac:dyDescent="0.25">
      <c r="A55" s="17"/>
      <c r="B55" s="28">
        <v>3</v>
      </c>
      <c r="C55" s="29" t="s">
        <v>408</v>
      </c>
      <c r="D55" s="30" t="s">
        <v>41</v>
      </c>
      <c r="E55" s="60" t="s">
        <v>409</v>
      </c>
      <c r="F55" s="60"/>
      <c r="G55" s="60"/>
      <c r="H55" s="61">
        <f ca="1">IFERROR(__xludf.DUMMYFUNCTION("MAX(IF(REGEXMATCH(E55,""^\d{1,2},\d{2}$""),VALUE(E55),0),IF(REGEXMATCH(F55,""^\d{1,2},\d{2}$""),VALUE(F55),0),IF(REGEXMATCH(G55,""^\d{1,2},\d{2}$""),VALUE(G55),0))"),46.69)</f>
        <v>46.69</v>
      </c>
      <c r="I55" s="21"/>
      <c r="J55" s="22"/>
    </row>
    <row r="56" spans="1:10" ht="13.2" x14ac:dyDescent="0.25">
      <c r="A56" s="17"/>
      <c r="B56" s="28">
        <v>4</v>
      </c>
      <c r="C56" s="29" t="s">
        <v>410</v>
      </c>
      <c r="D56" s="30" t="s">
        <v>10</v>
      </c>
      <c r="E56" s="60" t="s">
        <v>411</v>
      </c>
      <c r="F56" s="60"/>
      <c r="G56" s="60"/>
      <c r="H56" s="61">
        <f ca="1">IFERROR(__xludf.DUMMYFUNCTION("MAX(IF(REGEXMATCH(E56,""^\d{1,2},\d{2}$""),VALUE(E56),0),IF(REGEXMATCH(F56,""^\d{1,2},\d{2}$""),VALUE(F56),0),IF(REGEXMATCH(G56,""^\d{1,2},\d{2}$""),VALUE(G56),0))"),46.92)</f>
        <v>46.92</v>
      </c>
      <c r="I56" s="21"/>
      <c r="J56" s="22"/>
    </row>
    <row r="57" spans="1:10" ht="13.2" x14ac:dyDescent="0.25">
      <c r="A57" s="17"/>
      <c r="B57" s="28">
        <v>5</v>
      </c>
      <c r="C57" s="29" t="s">
        <v>79</v>
      </c>
      <c r="D57" s="30" t="s">
        <v>10</v>
      </c>
      <c r="E57" s="60" t="s">
        <v>412</v>
      </c>
      <c r="F57" s="60"/>
      <c r="G57" s="60"/>
      <c r="H57" s="61">
        <f ca="1">IFERROR(__xludf.DUMMYFUNCTION("MAX(IF(REGEXMATCH(E57,""^\d{1,2},\d{2}$""),VALUE(E57),0),IF(REGEXMATCH(F57,""^\d{1,2},\d{2}$""),VALUE(F57),0),IF(REGEXMATCH(G57,""^\d{1,2},\d{2}$""),VALUE(G57),0))"),37.98)</f>
        <v>37.979999999999997</v>
      </c>
      <c r="I57" s="21"/>
      <c r="J57" s="22"/>
    </row>
    <row r="58" spans="1:10" ht="13.2" x14ac:dyDescent="0.25">
      <c r="A58" s="17"/>
      <c r="B58" s="62" t="s">
        <v>18</v>
      </c>
      <c r="C58" s="36"/>
      <c r="D58" s="44" t="s">
        <v>413</v>
      </c>
      <c r="E58" s="38"/>
      <c r="F58" s="38"/>
      <c r="G58" s="38"/>
      <c r="H58" s="63"/>
      <c r="I58" s="21"/>
      <c r="J58" s="22"/>
    </row>
    <row r="59" spans="1:10" ht="13.2" x14ac:dyDescent="0.25">
      <c r="A59" s="17"/>
      <c r="B59" s="17"/>
      <c r="D59" s="18"/>
      <c r="E59" s="18"/>
      <c r="F59" s="18"/>
      <c r="G59" s="18"/>
      <c r="H59" s="58"/>
      <c r="I59" s="21"/>
      <c r="J59" s="22"/>
    </row>
    <row r="60" spans="1:10" ht="15.6" x14ac:dyDescent="0.25">
      <c r="A60" s="23">
        <v>8</v>
      </c>
      <c r="B60" s="97" t="s">
        <v>96</v>
      </c>
      <c r="C60" s="98"/>
      <c r="D60" s="98"/>
      <c r="E60" s="98"/>
      <c r="F60" s="98"/>
      <c r="G60" s="98"/>
      <c r="H60" s="59"/>
      <c r="I60" s="25">
        <f ca="1">IF(COUNTIFS(H61:H65,"&gt;0") &gt; 3, FLOOR((SUM(H61:H65)-MIN(H61,H62,H63,H64,H65))/4,0.0001), )</f>
        <v>43.690000000000005</v>
      </c>
      <c r="J60" s="26">
        <f ca="1">IF(I60=0,"",RANK(I60,$I$4:$I$224,))</f>
        <v>8</v>
      </c>
    </row>
    <row r="61" spans="1:10" ht="13.2" x14ac:dyDescent="0.25">
      <c r="A61" s="17"/>
      <c r="B61" s="28">
        <v>1</v>
      </c>
      <c r="C61" s="29" t="s">
        <v>21</v>
      </c>
      <c r="D61" s="30" t="s">
        <v>10</v>
      </c>
      <c r="E61" s="60" t="s">
        <v>414</v>
      </c>
      <c r="F61" s="60"/>
      <c r="G61" s="60"/>
      <c r="H61" s="61">
        <f ca="1">IFERROR(__xludf.DUMMYFUNCTION("MAX(IF(REGEXMATCH(E61,""^\d{1,2},\d{2}$""),VALUE(E61),0),IF(REGEXMATCH(F61,""^\d{1,2},\d{2}$""),VALUE(F61),0),IF(REGEXMATCH(G61,""^\d{1,2},\d{2}$""),VALUE(G61),0))"),42.63)</f>
        <v>42.63</v>
      </c>
      <c r="I61" s="21"/>
      <c r="J61" s="22"/>
    </row>
    <row r="62" spans="1:10" ht="13.2" x14ac:dyDescent="0.25">
      <c r="A62" s="17"/>
      <c r="B62" s="28">
        <v>2</v>
      </c>
      <c r="C62" s="29" t="s">
        <v>102</v>
      </c>
      <c r="D62" s="30" t="s">
        <v>10</v>
      </c>
      <c r="E62" s="60" t="s">
        <v>415</v>
      </c>
      <c r="F62" s="60"/>
      <c r="G62" s="60"/>
      <c r="H62" s="61">
        <f ca="1">IFERROR(__xludf.DUMMYFUNCTION("MAX(IF(REGEXMATCH(E62,""^\d{1,2},\d{2}$""),VALUE(E62),0),IF(REGEXMATCH(F62,""^\d{1,2},\d{2}$""),VALUE(F62),0),IF(REGEXMATCH(G62,""^\d{1,2},\d{2}$""),VALUE(G62),0))"),48.85)</f>
        <v>48.85</v>
      </c>
      <c r="I62" s="21"/>
      <c r="J62" s="22"/>
    </row>
    <row r="63" spans="1:10" ht="13.2" x14ac:dyDescent="0.25">
      <c r="A63" s="17"/>
      <c r="B63" s="28">
        <v>3</v>
      </c>
      <c r="C63" s="29" t="s">
        <v>22</v>
      </c>
      <c r="D63" s="30" t="s">
        <v>10</v>
      </c>
      <c r="E63" s="60" t="s">
        <v>416</v>
      </c>
      <c r="F63" s="60"/>
      <c r="G63" s="60"/>
      <c r="H63" s="61">
        <f ca="1">IFERROR(__xludf.DUMMYFUNCTION("MAX(IF(REGEXMATCH(E63,""^\d{1,2},\d{2}$""),VALUE(E63),0),IF(REGEXMATCH(F63,""^\d{1,2},\d{2}$""),VALUE(F63),0),IF(REGEXMATCH(G63,""^\d{1,2},\d{2}$""),VALUE(G63),0))"),41.03)</f>
        <v>41.03</v>
      </c>
      <c r="I63" s="21"/>
      <c r="J63" s="22"/>
    </row>
    <row r="64" spans="1:10" ht="13.2" x14ac:dyDescent="0.25">
      <c r="A64" s="17"/>
      <c r="B64" s="28">
        <v>4</v>
      </c>
      <c r="C64" s="29" t="s">
        <v>417</v>
      </c>
      <c r="D64" s="30" t="s">
        <v>10</v>
      </c>
      <c r="E64" s="60" t="s">
        <v>418</v>
      </c>
      <c r="F64" s="60"/>
      <c r="G64" s="60"/>
      <c r="H64" s="61">
        <f ca="1">IFERROR(__xludf.DUMMYFUNCTION("MAX(IF(REGEXMATCH(E64,""^\d{1,2},\d{2}$""),VALUE(E64),0),IF(REGEXMATCH(F64,""^\d{1,2},\d{2}$""),VALUE(F64),0),IF(REGEXMATCH(G64,""^\d{1,2},\d{2}$""),VALUE(G64),0))"),39.75)</f>
        <v>39.75</v>
      </c>
      <c r="I64" s="21"/>
      <c r="J64" s="22"/>
    </row>
    <row r="65" spans="1:10" ht="13.2" x14ac:dyDescent="0.25">
      <c r="A65" s="17"/>
      <c r="B65" s="28">
        <v>5</v>
      </c>
      <c r="C65" s="29" t="s">
        <v>27</v>
      </c>
      <c r="D65" s="30" t="s">
        <v>10</v>
      </c>
      <c r="E65" s="60" t="s">
        <v>419</v>
      </c>
      <c r="F65" s="60"/>
      <c r="G65" s="60"/>
      <c r="H65" s="61">
        <f ca="1">IFERROR(__xludf.DUMMYFUNCTION("MAX(IF(REGEXMATCH(E65,""^\d{1,2},\d{2}$""),VALUE(E65),0),IF(REGEXMATCH(F65,""^\d{1,2},\d{2}$""),VALUE(F65),0),IF(REGEXMATCH(G65,""^\d{1,2},\d{2}$""),VALUE(G65),0))"),42.25)</f>
        <v>42.25</v>
      </c>
      <c r="I65" s="21"/>
      <c r="J65" s="22"/>
    </row>
    <row r="66" spans="1:10" ht="13.2" x14ac:dyDescent="0.25">
      <c r="A66" s="17"/>
      <c r="B66" s="62" t="s">
        <v>18</v>
      </c>
      <c r="C66" s="36"/>
      <c r="D66" s="44" t="s">
        <v>254</v>
      </c>
      <c r="E66" s="38"/>
      <c r="F66" s="38"/>
      <c r="G66" s="38"/>
      <c r="H66" s="63"/>
      <c r="I66" s="21"/>
      <c r="J66" s="22"/>
    </row>
    <row r="67" spans="1:10" ht="13.2" x14ac:dyDescent="0.25">
      <c r="A67" s="17"/>
      <c r="B67" s="17"/>
      <c r="D67" s="18"/>
      <c r="E67" s="18"/>
      <c r="F67" s="18"/>
      <c r="G67" s="18"/>
      <c r="H67" s="58"/>
      <c r="I67" s="21"/>
      <c r="J67" s="22"/>
    </row>
    <row r="68" spans="1:10" ht="15.6" x14ac:dyDescent="0.25">
      <c r="A68" s="23">
        <v>9</v>
      </c>
      <c r="B68" s="97" t="s">
        <v>180</v>
      </c>
      <c r="C68" s="98"/>
      <c r="D68" s="98"/>
      <c r="E68" s="98"/>
      <c r="F68" s="98"/>
      <c r="G68" s="98"/>
      <c r="H68" s="59"/>
      <c r="I68" s="25">
        <f ca="1">IF(COUNTIFS(H69:H73,"&gt;0") &gt; 3, FLOOR((SUM(H69:H73)-MIN(H69,H70,H71,H72,H73))/4,0.0001), )</f>
        <v>42.925000000000004</v>
      </c>
      <c r="J68" s="26">
        <f ca="1">IF(I68=0,"",RANK(I68,$I$4:$I$224,))</f>
        <v>9</v>
      </c>
    </row>
    <row r="69" spans="1:10" ht="13.2" x14ac:dyDescent="0.25">
      <c r="A69" s="17"/>
      <c r="B69" s="28">
        <v>1</v>
      </c>
      <c r="C69" s="29" t="s">
        <v>420</v>
      </c>
      <c r="D69" s="30" t="s">
        <v>10</v>
      </c>
      <c r="E69" s="60" t="s">
        <v>421</v>
      </c>
      <c r="F69" s="60"/>
      <c r="G69" s="60"/>
      <c r="H69" s="61">
        <f ca="1">IFERROR(__xludf.DUMMYFUNCTION("MAX(IF(REGEXMATCH(E69,""^\d{1,2},\d{2}$""),VALUE(E69),0),IF(REGEXMATCH(F69,""^\d{1,2},\d{2}$""),VALUE(F69),0),IF(REGEXMATCH(G69,""^\d{1,2},\d{2}$""),VALUE(G69),0))"),45.36)</f>
        <v>45.36</v>
      </c>
      <c r="I69" s="21"/>
      <c r="J69" s="22"/>
    </row>
    <row r="70" spans="1:10" ht="13.2" x14ac:dyDescent="0.25">
      <c r="A70" s="17"/>
      <c r="B70" s="28">
        <v>2</v>
      </c>
      <c r="C70" s="29" t="s">
        <v>182</v>
      </c>
      <c r="D70" s="30" t="s">
        <v>10</v>
      </c>
      <c r="E70" s="60" t="s">
        <v>422</v>
      </c>
      <c r="F70" s="60"/>
      <c r="G70" s="60"/>
      <c r="H70" s="61">
        <f ca="1">IFERROR(__xludf.DUMMYFUNCTION("MAX(IF(REGEXMATCH(E70,""^\d{1,2},\d{2}$""),VALUE(E70),0),IF(REGEXMATCH(F70,""^\d{1,2},\d{2}$""),VALUE(F70),0),IF(REGEXMATCH(G70,""^\d{1,2},\d{2}$""),VALUE(G70),0))"),40.58)</f>
        <v>40.58</v>
      </c>
      <c r="I70" s="21"/>
      <c r="J70" s="22"/>
    </row>
    <row r="71" spans="1:10" ht="13.2" x14ac:dyDescent="0.25">
      <c r="A71" s="17"/>
      <c r="B71" s="28">
        <v>3</v>
      </c>
      <c r="C71" s="29" t="s">
        <v>423</v>
      </c>
      <c r="D71" s="30" t="s">
        <v>15</v>
      </c>
      <c r="E71" s="60" t="s">
        <v>424</v>
      </c>
      <c r="F71" s="60"/>
      <c r="G71" s="60"/>
      <c r="H71" s="61">
        <f ca="1">IFERROR(__xludf.DUMMYFUNCTION("MAX(IF(REGEXMATCH(E71,""^\d{1,2},\d{2}$""),VALUE(E71),0),IF(REGEXMATCH(F71,""^\d{1,2},\d{2}$""),VALUE(F71),0),IF(REGEXMATCH(G71,""^\d{1,2},\d{2}$""),VALUE(G71),0))"),45.43)</f>
        <v>45.43</v>
      </c>
      <c r="I71" s="21"/>
      <c r="J71" s="22"/>
    </row>
    <row r="72" spans="1:10" ht="13.2" x14ac:dyDescent="0.25">
      <c r="A72" s="17"/>
      <c r="B72" s="28">
        <v>4</v>
      </c>
      <c r="C72" s="29" t="s">
        <v>348</v>
      </c>
      <c r="D72" s="30" t="s">
        <v>15</v>
      </c>
      <c r="E72" s="60" t="s">
        <v>425</v>
      </c>
      <c r="F72" s="60"/>
      <c r="G72" s="60"/>
      <c r="H72" s="61">
        <f ca="1">IFERROR(__xludf.DUMMYFUNCTION("MAX(IF(REGEXMATCH(E72,""^\d{1,2},\d{2}$""),VALUE(E72),0),IF(REGEXMATCH(F72,""^\d{1,2},\d{2}$""),VALUE(F72),0),IF(REGEXMATCH(G72,""^\d{1,2},\d{2}$""),VALUE(G72),0))"),40.33)</f>
        <v>40.33</v>
      </c>
      <c r="I72" s="21"/>
      <c r="J72" s="22"/>
    </row>
    <row r="73" spans="1:10" ht="13.2" x14ac:dyDescent="0.25">
      <c r="A73" s="17"/>
      <c r="B73" s="28">
        <v>5</v>
      </c>
      <c r="C73" s="29" t="s">
        <v>189</v>
      </c>
      <c r="D73" s="30" t="s">
        <v>10</v>
      </c>
      <c r="E73" s="60" t="s">
        <v>426</v>
      </c>
      <c r="F73" s="60"/>
      <c r="G73" s="60"/>
      <c r="H73" s="61">
        <f ca="1">IFERROR(__xludf.DUMMYFUNCTION("MAX(IF(REGEXMATCH(E73,""^\d{1,2},\d{2}$""),VALUE(E73),0),IF(REGEXMATCH(F73,""^\d{1,2},\d{2}$""),VALUE(F73),0),IF(REGEXMATCH(G73,""^\d{1,2},\d{2}$""),VALUE(G73),0))"),37.99)</f>
        <v>37.99</v>
      </c>
      <c r="I73" s="21"/>
      <c r="J73" s="22"/>
    </row>
    <row r="74" spans="1:10" ht="13.2" x14ac:dyDescent="0.25">
      <c r="A74" s="17"/>
      <c r="B74" s="62" t="s">
        <v>18</v>
      </c>
      <c r="C74" s="36"/>
      <c r="D74" s="44" t="s">
        <v>190</v>
      </c>
      <c r="E74" s="38"/>
      <c r="F74" s="38"/>
      <c r="G74" s="38"/>
      <c r="H74" s="63"/>
      <c r="I74" s="21"/>
      <c r="J74" s="22"/>
    </row>
    <row r="75" spans="1:10" ht="13.2" x14ac:dyDescent="0.25">
      <c r="A75" s="17"/>
      <c r="B75" s="17"/>
      <c r="D75" s="18"/>
      <c r="E75" s="18"/>
      <c r="F75" s="18"/>
      <c r="G75" s="18"/>
      <c r="H75" s="58"/>
      <c r="I75" s="21"/>
      <c r="J75" s="22"/>
    </row>
    <row r="76" spans="1:10" ht="15.6" x14ac:dyDescent="0.25">
      <c r="A76" s="23">
        <v>10</v>
      </c>
      <c r="B76" s="97" t="s">
        <v>306</v>
      </c>
      <c r="C76" s="98"/>
      <c r="D76" s="98"/>
      <c r="E76" s="98"/>
      <c r="F76" s="98"/>
      <c r="G76" s="98"/>
      <c r="H76" s="59"/>
      <c r="I76" s="25">
        <f ca="1">IF(COUNTIFS(H77:H81,"&gt;0") &gt; 3, FLOOR((SUM(H77:H81)-MIN(H77,H78,H79,H80,H81))/4,0.0001), )</f>
        <v>42.7575</v>
      </c>
      <c r="J76" s="26">
        <f ca="1">IF(I76=0,"",RANK(I76,$I$4:$I$224,))</f>
        <v>10</v>
      </c>
    </row>
    <row r="77" spans="1:10" ht="13.2" x14ac:dyDescent="0.25">
      <c r="A77" s="17"/>
      <c r="B77" s="28">
        <v>1</v>
      </c>
      <c r="C77" s="29" t="s">
        <v>307</v>
      </c>
      <c r="D77" s="30" t="s">
        <v>10</v>
      </c>
      <c r="E77" s="60" t="s">
        <v>427</v>
      </c>
      <c r="F77" s="60"/>
      <c r="G77" s="60"/>
      <c r="H77" s="61">
        <f ca="1">IFERROR(__xludf.DUMMYFUNCTION("MAX(IF(REGEXMATCH(E77,""^\d{1,2},\d{2}$""),VALUE(E77),0),IF(REGEXMATCH(F77,""^\d{1,2},\d{2}$""),VALUE(F77),0),IF(REGEXMATCH(G77,""^\d{1,2},\d{2}$""),VALUE(G77),0))"),36.1)</f>
        <v>36.1</v>
      </c>
      <c r="I77" s="21"/>
      <c r="J77" s="22"/>
    </row>
    <row r="78" spans="1:10" ht="13.2" x14ac:dyDescent="0.25">
      <c r="A78" s="17"/>
      <c r="B78" s="28">
        <v>2</v>
      </c>
      <c r="C78" s="29" t="s">
        <v>311</v>
      </c>
      <c r="D78" s="30" t="s">
        <v>15</v>
      </c>
      <c r="E78" s="60" t="s">
        <v>428</v>
      </c>
      <c r="F78" s="60"/>
      <c r="G78" s="60"/>
      <c r="H78" s="61">
        <f ca="1">IFERROR(__xludf.DUMMYFUNCTION("MAX(IF(REGEXMATCH(E78,""^\d{1,2},\d{2}$""),VALUE(E78),0),IF(REGEXMATCH(F78,""^\d{1,2},\d{2}$""),VALUE(F78),0),IF(REGEXMATCH(G78,""^\d{1,2},\d{2}$""),VALUE(G78),0))"),36.12)</f>
        <v>36.119999999999997</v>
      </c>
      <c r="I78" s="21"/>
      <c r="J78" s="22"/>
    </row>
    <row r="79" spans="1:10" ht="13.2" x14ac:dyDescent="0.25">
      <c r="A79" s="17"/>
      <c r="B79" s="28">
        <v>3</v>
      </c>
      <c r="C79" s="29" t="s">
        <v>315</v>
      </c>
      <c r="D79" s="30" t="s">
        <v>10</v>
      </c>
      <c r="E79" s="60" t="s">
        <v>429</v>
      </c>
      <c r="F79" s="60"/>
      <c r="G79" s="60"/>
      <c r="H79" s="61">
        <f ca="1">IFERROR(__xludf.DUMMYFUNCTION("MAX(IF(REGEXMATCH(E79,""^\d{1,2},\d{2}$""),VALUE(E79),0),IF(REGEXMATCH(F79,""^\d{1,2},\d{2}$""),VALUE(F79),0),IF(REGEXMATCH(G79,""^\d{1,2},\d{2}$""),VALUE(G79),0))"),42.36)</f>
        <v>42.36</v>
      </c>
      <c r="I79" s="21"/>
      <c r="J79" s="22"/>
    </row>
    <row r="80" spans="1:10" ht="13.2" x14ac:dyDescent="0.25">
      <c r="A80" s="17"/>
      <c r="B80" s="28">
        <v>4</v>
      </c>
      <c r="C80" s="29" t="s">
        <v>319</v>
      </c>
      <c r="D80" s="30" t="s">
        <v>10</v>
      </c>
      <c r="E80" s="60" t="s">
        <v>430</v>
      </c>
      <c r="F80" s="60"/>
      <c r="G80" s="60"/>
      <c r="H80" s="61">
        <f ca="1">IFERROR(__xludf.DUMMYFUNCTION("MAX(IF(REGEXMATCH(E80,""^\d{1,2},\d{2}$""),VALUE(E80),0),IF(REGEXMATCH(F80,""^\d{1,2},\d{2}$""),VALUE(F80),0),IF(REGEXMATCH(G80,""^\d{1,2},\d{2}$""),VALUE(G80),0))"),42.34)</f>
        <v>42.34</v>
      </c>
      <c r="I80" s="21"/>
      <c r="J80" s="22"/>
    </row>
    <row r="81" spans="1:10" ht="13.2" x14ac:dyDescent="0.25">
      <c r="A81" s="17"/>
      <c r="B81" s="28">
        <v>5</v>
      </c>
      <c r="C81" s="29" t="s">
        <v>322</v>
      </c>
      <c r="D81" s="30" t="s">
        <v>10</v>
      </c>
      <c r="E81" s="60" t="s">
        <v>431</v>
      </c>
      <c r="F81" s="60"/>
      <c r="G81" s="60"/>
      <c r="H81" s="61">
        <f ca="1">IFERROR(__xludf.DUMMYFUNCTION("MAX(IF(REGEXMATCH(E81,""^\d{1,2},\d{2}$""),VALUE(E81),0),IF(REGEXMATCH(F81,""^\d{1,2},\d{2}$""),VALUE(F81),0),IF(REGEXMATCH(G81,""^\d{1,2},\d{2}$""),VALUE(G81),0))"),50.21)</f>
        <v>50.21</v>
      </c>
      <c r="I81" s="21"/>
      <c r="J81" s="22"/>
    </row>
    <row r="82" spans="1:10" ht="13.2" x14ac:dyDescent="0.25">
      <c r="A82" s="17"/>
      <c r="B82" s="62" t="s">
        <v>18</v>
      </c>
      <c r="C82" s="36"/>
      <c r="D82" s="44" t="s">
        <v>326</v>
      </c>
      <c r="E82" s="38"/>
      <c r="F82" s="38"/>
      <c r="G82" s="38"/>
      <c r="H82" s="63"/>
      <c r="I82" s="21"/>
      <c r="J82" s="22"/>
    </row>
    <row r="83" spans="1:10" ht="13.2" x14ac:dyDescent="0.25">
      <c r="A83" s="17"/>
      <c r="B83" s="17"/>
      <c r="D83" s="18"/>
      <c r="E83" s="18"/>
      <c r="F83" s="18"/>
      <c r="G83" s="18"/>
      <c r="H83" s="58"/>
      <c r="I83" s="21"/>
      <c r="J83" s="22"/>
    </row>
    <row r="84" spans="1:10" ht="15.6" x14ac:dyDescent="0.25">
      <c r="A84" s="23">
        <v>11</v>
      </c>
      <c r="B84" s="97" t="s">
        <v>148</v>
      </c>
      <c r="C84" s="98"/>
      <c r="D84" s="98"/>
      <c r="E84" s="98"/>
      <c r="F84" s="98"/>
      <c r="G84" s="98"/>
      <c r="H84" s="59"/>
      <c r="I84" s="25">
        <f ca="1">IF(COUNTIFS(H85:H89,"&gt;0") &gt; 3, FLOOR((SUM(H85:H89)-MIN(H85,H86,H87,H88,H89))/4,0.0001), )</f>
        <v>42.465000000000003</v>
      </c>
      <c r="J84" s="26">
        <f ca="1">IF(I84=0,"",RANK(I84,$I$4:$I$224,))</f>
        <v>11</v>
      </c>
    </row>
    <row r="85" spans="1:10" ht="13.2" x14ac:dyDescent="0.25">
      <c r="A85" s="17"/>
      <c r="B85" s="28">
        <v>1</v>
      </c>
      <c r="C85" s="29" t="s">
        <v>149</v>
      </c>
      <c r="D85" s="30" t="s">
        <v>10</v>
      </c>
      <c r="E85" s="60" t="s">
        <v>432</v>
      </c>
      <c r="F85" s="60"/>
      <c r="G85" s="60"/>
      <c r="H85" s="61">
        <f ca="1">IFERROR(__xludf.DUMMYFUNCTION("MAX(IF(REGEXMATCH(E85,""^\d{1,2},\d{2}$""),VALUE(E85),0),IF(REGEXMATCH(F85,""^\d{1,2},\d{2}$""),VALUE(F85),0),IF(REGEXMATCH(G85,""^\d{1,2},\d{2}$""),VALUE(G85),0))"),42.27)</f>
        <v>42.27</v>
      </c>
      <c r="I85" s="21"/>
      <c r="J85" s="22"/>
    </row>
    <row r="86" spans="1:10" ht="13.2" x14ac:dyDescent="0.25">
      <c r="A86" s="17"/>
      <c r="B86" s="28">
        <v>2</v>
      </c>
      <c r="C86" s="29" t="s">
        <v>156</v>
      </c>
      <c r="D86" s="30" t="s">
        <v>10</v>
      </c>
      <c r="E86" s="60" t="s">
        <v>433</v>
      </c>
      <c r="F86" s="60"/>
      <c r="G86" s="60"/>
      <c r="H86" s="61">
        <f ca="1">IFERROR(__xludf.DUMMYFUNCTION("MAX(IF(REGEXMATCH(E86,""^\d{1,2},\d{2}$""),VALUE(E86),0),IF(REGEXMATCH(F86,""^\d{1,2},\d{2}$""),VALUE(F86),0),IF(REGEXMATCH(G86,""^\d{1,2},\d{2}$""),VALUE(G86),0))"),51.18)</f>
        <v>51.18</v>
      </c>
      <c r="I86" s="21"/>
      <c r="J86" s="22"/>
    </row>
    <row r="87" spans="1:10" ht="13.2" x14ac:dyDescent="0.25">
      <c r="A87" s="17"/>
      <c r="B87" s="28">
        <v>3</v>
      </c>
      <c r="C87" s="29" t="s">
        <v>434</v>
      </c>
      <c r="D87" s="30" t="s">
        <v>41</v>
      </c>
      <c r="E87" s="60" t="s">
        <v>435</v>
      </c>
      <c r="F87" s="60"/>
      <c r="G87" s="60"/>
      <c r="H87" s="61">
        <f ca="1">IFERROR(__xludf.DUMMYFUNCTION("MAX(IF(REGEXMATCH(E87,""^\d{1,2},\d{2}$""),VALUE(E87),0),IF(REGEXMATCH(F87,""^\d{1,2},\d{2}$""),VALUE(F87),0),IF(REGEXMATCH(G87,""^\d{1,2},\d{2}$""),VALUE(G87),0))"),36.77)</f>
        <v>36.770000000000003</v>
      </c>
      <c r="I87" s="21"/>
      <c r="J87" s="22"/>
    </row>
    <row r="88" spans="1:10" ht="13.2" x14ac:dyDescent="0.25">
      <c r="A88" s="17"/>
      <c r="B88" s="28">
        <v>4</v>
      </c>
      <c r="C88" s="29" t="s">
        <v>161</v>
      </c>
      <c r="D88" s="30" t="s">
        <v>10</v>
      </c>
      <c r="E88" s="60" t="s">
        <v>436</v>
      </c>
      <c r="F88" s="60"/>
      <c r="G88" s="60"/>
      <c r="H88" s="61">
        <f ca="1">IFERROR(__xludf.DUMMYFUNCTION("MAX(IF(REGEXMATCH(E88,""^\d{1,2},\d{2}$""),VALUE(E88),0),IF(REGEXMATCH(F88,""^\d{1,2},\d{2}$""),VALUE(F88),0),IF(REGEXMATCH(G88,""^\d{1,2},\d{2}$""),VALUE(G88),0))"),39.64)</f>
        <v>39.64</v>
      </c>
      <c r="I88" s="21"/>
      <c r="J88" s="22"/>
    </row>
    <row r="89" spans="1:10" ht="13.2" x14ac:dyDescent="0.25">
      <c r="A89" s="17"/>
      <c r="B89" s="28">
        <v>5</v>
      </c>
      <c r="C89" s="29" t="s">
        <v>159</v>
      </c>
      <c r="D89" s="30" t="s">
        <v>15</v>
      </c>
      <c r="E89" s="60" t="s">
        <v>437</v>
      </c>
      <c r="F89" s="60"/>
      <c r="G89" s="60"/>
      <c r="H89" s="61">
        <f ca="1">IFERROR(__xludf.DUMMYFUNCTION("MAX(IF(REGEXMATCH(E89,""^\d{1,2},\d{2}$""),VALUE(E89),0),IF(REGEXMATCH(F89,""^\d{1,2},\d{2}$""),VALUE(F89),0),IF(REGEXMATCH(G89,""^\d{1,2},\d{2}$""),VALUE(G89),0))"),35.86)</f>
        <v>35.86</v>
      </c>
      <c r="I89" s="21"/>
      <c r="J89" s="22"/>
    </row>
    <row r="90" spans="1:10" ht="13.2" x14ac:dyDescent="0.25">
      <c r="A90" s="17"/>
      <c r="B90" s="62" t="s">
        <v>18</v>
      </c>
      <c r="C90" s="36"/>
      <c r="D90" s="44" t="s">
        <v>163</v>
      </c>
      <c r="E90" s="38"/>
      <c r="F90" s="38"/>
      <c r="G90" s="38"/>
      <c r="H90" s="63"/>
      <c r="I90" s="21"/>
      <c r="J90" s="22"/>
    </row>
    <row r="91" spans="1:10" ht="13.2" x14ac:dyDescent="0.25">
      <c r="A91" s="17"/>
      <c r="B91" s="17"/>
      <c r="D91" s="18"/>
      <c r="E91" s="18"/>
      <c r="F91" s="18"/>
      <c r="G91" s="18"/>
      <c r="H91" s="58"/>
      <c r="I91" s="21"/>
      <c r="J91" s="22"/>
    </row>
    <row r="92" spans="1:10" ht="15.6" x14ac:dyDescent="0.25">
      <c r="A92" s="23">
        <v>12</v>
      </c>
      <c r="B92" s="97" t="s">
        <v>438</v>
      </c>
      <c r="C92" s="98"/>
      <c r="D92" s="98"/>
      <c r="E92" s="98"/>
      <c r="F92" s="98"/>
      <c r="G92" s="98"/>
      <c r="H92" s="59"/>
      <c r="I92" s="25">
        <f ca="1">IF(COUNTIFS(H93:H97,"&gt;0") &gt; 3, FLOOR((SUM(H93:H97)-MIN(H93,H94,H95,H96,H97))/4,0.0001), )</f>
        <v>41.477499999999999</v>
      </c>
      <c r="J92" s="26">
        <f ca="1">IF(I92=0,"",RANK(I92,$I$4:$I$224,))</f>
        <v>12</v>
      </c>
    </row>
    <row r="93" spans="1:10" ht="13.2" x14ac:dyDescent="0.25">
      <c r="A93" s="17"/>
      <c r="B93" s="28">
        <v>1</v>
      </c>
      <c r="C93" s="29" t="s">
        <v>439</v>
      </c>
      <c r="D93" s="30" t="s">
        <v>15</v>
      </c>
      <c r="E93" s="60" t="s">
        <v>440</v>
      </c>
      <c r="F93" s="60"/>
      <c r="G93" s="60"/>
      <c r="H93" s="61">
        <f ca="1">IFERROR(__xludf.DUMMYFUNCTION("MAX(IF(REGEXMATCH(E93,""^\d{1,2},\d{2}$""),VALUE(E93),0),IF(REGEXMATCH(F93,""^\d{1,2},\d{2}$""),VALUE(F93),0),IF(REGEXMATCH(G93,""^\d{1,2},\d{2}$""),VALUE(G93),0))"),46.66)</f>
        <v>46.66</v>
      </c>
      <c r="I93" s="21"/>
      <c r="J93" s="22"/>
    </row>
    <row r="94" spans="1:10" ht="13.2" x14ac:dyDescent="0.25">
      <c r="A94" s="17"/>
      <c r="B94" s="28">
        <v>2</v>
      </c>
      <c r="C94" s="29" t="s">
        <v>441</v>
      </c>
      <c r="D94" s="30" t="s">
        <v>371</v>
      </c>
      <c r="E94" s="60" t="s">
        <v>442</v>
      </c>
      <c r="F94" s="60"/>
      <c r="G94" s="60"/>
      <c r="H94" s="61">
        <f ca="1">IFERROR(__xludf.DUMMYFUNCTION("MAX(IF(REGEXMATCH(E94,""^\d{1,2},\d{2}$""),VALUE(E94),0),IF(REGEXMATCH(F94,""^\d{1,2},\d{2}$""),VALUE(F94),0),IF(REGEXMATCH(G94,""^\d{1,2},\d{2}$""),VALUE(G94),0))"),26.17)</f>
        <v>26.17</v>
      </c>
      <c r="I94" s="21"/>
      <c r="J94" s="22"/>
    </row>
    <row r="95" spans="1:10" ht="13.2" x14ac:dyDescent="0.25">
      <c r="A95" s="17"/>
      <c r="B95" s="28">
        <v>3</v>
      </c>
      <c r="C95" s="29" t="s">
        <v>443</v>
      </c>
      <c r="D95" s="30" t="s">
        <v>15</v>
      </c>
      <c r="E95" s="60" t="s">
        <v>444</v>
      </c>
      <c r="F95" s="60"/>
      <c r="G95" s="60"/>
      <c r="H95" s="61">
        <f ca="1">IFERROR(__xludf.DUMMYFUNCTION("MAX(IF(REGEXMATCH(E95,""^\d{1,2},\d{2}$""),VALUE(E95),0),IF(REGEXMATCH(F95,""^\d{1,2},\d{2}$""),VALUE(F95),0),IF(REGEXMATCH(G95,""^\d{1,2},\d{2}$""),VALUE(G95),0))"),38.31)</f>
        <v>38.31</v>
      </c>
      <c r="I95" s="21"/>
      <c r="J95" s="22"/>
    </row>
    <row r="96" spans="1:10" ht="13.2" x14ac:dyDescent="0.25">
      <c r="A96" s="17"/>
      <c r="B96" s="28">
        <v>4</v>
      </c>
      <c r="C96" s="29" t="s">
        <v>445</v>
      </c>
      <c r="D96" s="30" t="s">
        <v>41</v>
      </c>
      <c r="E96" s="60" t="s">
        <v>446</v>
      </c>
      <c r="F96" s="60"/>
      <c r="G96" s="60"/>
      <c r="H96" s="61">
        <f ca="1">IFERROR(__xludf.DUMMYFUNCTION("MAX(IF(REGEXMATCH(E96,""^\d{1,2},\d{2}$""),VALUE(E96),0),IF(REGEXMATCH(F96,""^\d{1,2},\d{2}$""),VALUE(F96),0),IF(REGEXMATCH(G96,""^\d{1,2},\d{2}$""),VALUE(G96),0))"),46.9)</f>
        <v>46.9</v>
      </c>
      <c r="I96" s="21"/>
      <c r="J96" s="22"/>
    </row>
    <row r="97" spans="1:10" ht="13.2" x14ac:dyDescent="0.25">
      <c r="A97" s="17"/>
      <c r="B97" s="28">
        <v>5</v>
      </c>
      <c r="C97" s="29" t="s">
        <v>447</v>
      </c>
      <c r="D97" s="30" t="s">
        <v>41</v>
      </c>
      <c r="E97" s="60" t="s">
        <v>448</v>
      </c>
      <c r="F97" s="60"/>
      <c r="G97" s="60"/>
      <c r="H97" s="61">
        <f ca="1">IFERROR(__xludf.DUMMYFUNCTION("MAX(IF(REGEXMATCH(E97,""^\d{1,2},\d{2}$""),VALUE(E97),0),IF(REGEXMATCH(F97,""^\d{1,2},\d{2}$""),VALUE(F97),0),IF(REGEXMATCH(G97,""^\d{1,2},\d{2}$""),VALUE(G97),0))"),34.04)</f>
        <v>34.04</v>
      </c>
      <c r="I97" s="21"/>
      <c r="J97" s="22"/>
    </row>
    <row r="98" spans="1:10" ht="13.2" x14ac:dyDescent="0.25">
      <c r="A98" s="17"/>
      <c r="B98" s="62" t="s">
        <v>18</v>
      </c>
      <c r="C98" s="36"/>
      <c r="D98" s="44" t="s">
        <v>449</v>
      </c>
      <c r="E98" s="38"/>
      <c r="F98" s="38"/>
      <c r="G98" s="38"/>
      <c r="H98" s="63"/>
      <c r="I98" s="21"/>
      <c r="J98" s="22"/>
    </row>
    <row r="99" spans="1:10" ht="13.2" x14ac:dyDescent="0.25">
      <c r="A99" s="17"/>
      <c r="B99" s="17"/>
      <c r="D99" s="18"/>
      <c r="E99" s="18"/>
      <c r="F99" s="18"/>
      <c r="G99" s="18"/>
      <c r="H99" s="58"/>
      <c r="I99" s="21"/>
      <c r="J99" s="22"/>
    </row>
    <row r="100" spans="1:10" ht="15.6" x14ac:dyDescent="0.25">
      <c r="A100" s="23">
        <v>13</v>
      </c>
      <c r="B100" s="97" t="s">
        <v>450</v>
      </c>
      <c r="C100" s="98"/>
      <c r="D100" s="98"/>
      <c r="E100" s="98"/>
      <c r="F100" s="98"/>
      <c r="G100" s="98"/>
      <c r="H100" s="59"/>
      <c r="I100" s="25">
        <f ca="1">IF(COUNTIFS(H101:H105,"&gt;0") &gt; 3, FLOOR((SUM(H101:H105)-MIN(H101,H102,H103,H104,H105))/4,0.0001), )</f>
        <v>40.695</v>
      </c>
      <c r="J100" s="26">
        <f ca="1">IF(I100=0,"",RANK(I100,$I$4:$I$224,))</f>
        <v>13</v>
      </c>
    </row>
    <row r="101" spans="1:10" ht="13.2" x14ac:dyDescent="0.25">
      <c r="A101" s="17"/>
      <c r="B101" s="28">
        <v>1</v>
      </c>
      <c r="C101" s="29" t="s">
        <v>451</v>
      </c>
      <c r="D101" s="30" t="s">
        <v>15</v>
      </c>
      <c r="E101" s="60" t="s">
        <v>452</v>
      </c>
      <c r="F101" s="60"/>
      <c r="G101" s="60"/>
      <c r="H101" s="61">
        <f ca="1">IFERROR(__xludf.DUMMYFUNCTION("MAX(IF(REGEXMATCH(E101,""^\d{1,2},\d{2}$""),VALUE(E101),0),IF(REGEXMATCH(F101,""^\d{1,2},\d{2}$""),VALUE(F101),0),IF(REGEXMATCH(G101,""^\d{1,2},\d{2}$""),VALUE(G101),0))"),37.61)</f>
        <v>37.61</v>
      </c>
      <c r="I101" s="21"/>
      <c r="J101" s="22"/>
    </row>
    <row r="102" spans="1:10" ht="13.2" x14ac:dyDescent="0.25">
      <c r="A102" s="17"/>
      <c r="B102" s="28">
        <v>2</v>
      </c>
      <c r="C102" s="29" t="s">
        <v>453</v>
      </c>
      <c r="D102" s="30" t="s">
        <v>10</v>
      </c>
      <c r="E102" s="60" t="s">
        <v>454</v>
      </c>
      <c r="F102" s="60"/>
      <c r="G102" s="60"/>
      <c r="H102" s="61">
        <f ca="1">IFERROR(__xludf.DUMMYFUNCTION("MAX(IF(REGEXMATCH(E102,""^\d{1,2},\d{2}$""),VALUE(E102),0),IF(REGEXMATCH(F102,""^\d{1,2},\d{2}$""),VALUE(F102),0),IF(REGEXMATCH(G102,""^\d{1,2},\d{2}$""),VALUE(G102),0))"),49.5)</f>
        <v>49.5</v>
      </c>
      <c r="I102" s="21"/>
      <c r="J102" s="22"/>
    </row>
    <row r="103" spans="1:10" ht="13.2" x14ac:dyDescent="0.25">
      <c r="A103" s="17"/>
      <c r="B103" s="28">
        <v>3</v>
      </c>
      <c r="C103" s="29" t="s">
        <v>455</v>
      </c>
      <c r="D103" s="30" t="s">
        <v>10</v>
      </c>
      <c r="E103" s="60" t="s">
        <v>456</v>
      </c>
      <c r="F103" s="60"/>
      <c r="G103" s="60"/>
      <c r="H103" s="61">
        <f ca="1">IFERROR(__xludf.DUMMYFUNCTION("MAX(IF(REGEXMATCH(E103,""^\d{1,2},\d{2}$""),VALUE(E103),0),IF(REGEXMATCH(F103,""^\d{1,2},\d{2}$""),VALUE(F103),0),IF(REGEXMATCH(G103,""^\d{1,2},\d{2}$""),VALUE(G103),0))"),30.91)</f>
        <v>30.91</v>
      </c>
      <c r="I103" s="21"/>
      <c r="J103" s="22"/>
    </row>
    <row r="104" spans="1:10" ht="13.2" x14ac:dyDescent="0.25">
      <c r="A104" s="17"/>
      <c r="B104" s="28">
        <v>4</v>
      </c>
      <c r="C104" s="29" t="s">
        <v>457</v>
      </c>
      <c r="D104" s="30" t="s">
        <v>15</v>
      </c>
      <c r="E104" s="60" t="s">
        <v>458</v>
      </c>
      <c r="F104" s="60"/>
      <c r="G104" s="60"/>
      <c r="H104" s="61">
        <f ca="1">IFERROR(__xludf.DUMMYFUNCTION("MAX(IF(REGEXMATCH(E104,""^\d{1,2},\d{2}$""),VALUE(E104),0),IF(REGEXMATCH(F104,""^\d{1,2},\d{2}$""),VALUE(F104),0),IF(REGEXMATCH(G104,""^\d{1,2},\d{2}$""),VALUE(G104),0))"),36.58)</f>
        <v>36.58</v>
      </c>
      <c r="I104" s="21"/>
      <c r="J104" s="22"/>
    </row>
    <row r="105" spans="1:10" ht="13.2" x14ac:dyDescent="0.25">
      <c r="A105" s="17"/>
      <c r="B105" s="28">
        <v>5</v>
      </c>
      <c r="C105" s="29" t="s">
        <v>459</v>
      </c>
      <c r="D105" s="30" t="s">
        <v>15</v>
      </c>
      <c r="E105" s="60" t="s">
        <v>460</v>
      </c>
      <c r="F105" s="60"/>
      <c r="G105" s="60"/>
      <c r="H105" s="61">
        <f ca="1">IFERROR(__xludf.DUMMYFUNCTION("MAX(IF(REGEXMATCH(E105,""^\d{1,2},\d{2}$""),VALUE(E105),0),IF(REGEXMATCH(F105,""^\d{1,2},\d{2}$""),VALUE(F105),0),IF(REGEXMATCH(G105,""^\d{1,2},\d{2}$""),VALUE(G105),0))"),39.09)</f>
        <v>39.090000000000003</v>
      </c>
      <c r="I105" s="21"/>
      <c r="J105" s="22"/>
    </row>
    <row r="106" spans="1:10" ht="13.2" x14ac:dyDescent="0.25">
      <c r="A106" s="17"/>
      <c r="B106" s="17" t="s">
        <v>461</v>
      </c>
      <c r="D106" s="18" t="s">
        <v>462</v>
      </c>
      <c r="E106" s="18"/>
      <c r="F106" s="18"/>
      <c r="G106" s="18"/>
      <c r="H106" s="58"/>
      <c r="I106" s="21"/>
      <c r="J106" s="22"/>
    </row>
    <row r="107" spans="1:10" ht="13.2" x14ac:dyDescent="0.25">
      <c r="A107" s="17"/>
      <c r="B107" s="17"/>
      <c r="D107" s="18"/>
      <c r="E107" s="18"/>
      <c r="F107" s="18"/>
      <c r="G107" s="18"/>
      <c r="H107" s="58"/>
      <c r="I107" s="21"/>
      <c r="J107" s="22"/>
    </row>
    <row r="108" spans="1:10" ht="15.6" x14ac:dyDescent="0.25">
      <c r="A108" s="23">
        <v>14</v>
      </c>
      <c r="B108" s="97" t="s">
        <v>463</v>
      </c>
      <c r="C108" s="98"/>
      <c r="D108" s="98"/>
      <c r="E108" s="98"/>
      <c r="F108" s="98"/>
      <c r="G108" s="98"/>
      <c r="H108" s="59"/>
      <c r="I108" s="25">
        <f ca="1">IF(COUNTIFS(H109:H113,"&gt;0") &gt; 3, FLOOR((SUM(H109:H113)-MIN(H109,H110,H111,H112,H113))/4,0.0001), )</f>
        <v>38.532499999999999</v>
      </c>
      <c r="J108" s="26">
        <f ca="1">IF(I108=0,"",RANK(I108,$I$4:$I$224,))</f>
        <v>14</v>
      </c>
    </row>
    <row r="109" spans="1:10" ht="13.2" x14ac:dyDescent="0.25">
      <c r="A109" s="17"/>
      <c r="B109" s="28">
        <v>1</v>
      </c>
      <c r="C109" s="29" t="s">
        <v>464</v>
      </c>
      <c r="D109" s="30" t="s">
        <v>15</v>
      </c>
      <c r="E109" s="60" t="s">
        <v>465</v>
      </c>
      <c r="F109" s="60"/>
      <c r="G109" s="60"/>
      <c r="H109" s="61">
        <f ca="1">IFERROR(__xludf.DUMMYFUNCTION("MAX(IF(REGEXMATCH(E109,""^\d{1,2},\d{2}$""),VALUE(E109),0),IF(REGEXMATCH(F109,""^\d{1,2},\d{2}$""),VALUE(F109),0),IF(REGEXMATCH(G109,""^\d{1,2},\d{2}$""),VALUE(G109),0))"),35.39)</f>
        <v>35.39</v>
      </c>
      <c r="I109" s="21"/>
      <c r="J109" s="22"/>
    </row>
    <row r="110" spans="1:10" ht="13.2" x14ac:dyDescent="0.25">
      <c r="A110" s="17"/>
      <c r="B110" s="28">
        <v>2</v>
      </c>
      <c r="C110" s="29" t="s">
        <v>466</v>
      </c>
      <c r="D110" s="30" t="s">
        <v>371</v>
      </c>
      <c r="E110" s="60" t="s">
        <v>467</v>
      </c>
      <c r="F110" s="60"/>
      <c r="G110" s="60"/>
      <c r="H110" s="61">
        <f ca="1">IFERROR(__xludf.DUMMYFUNCTION("MAX(IF(REGEXMATCH(E110,""^\d{1,2},\d{2}$""),VALUE(E110),0),IF(REGEXMATCH(F110,""^\d{1,2},\d{2}$""),VALUE(F110),0),IF(REGEXMATCH(G110,""^\d{1,2},\d{2}$""),VALUE(G110),0))"),37.12)</f>
        <v>37.119999999999997</v>
      </c>
      <c r="I110" s="21"/>
      <c r="J110" s="22"/>
    </row>
    <row r="111" spans="1:10" ht="13.2" x14ac:dyDescent="0.25">
      <c r="A111" s="17"/>
      <c r="B111" s="28">
        <v>3</v>
      </c>
      <c r="C111" s="29" t="s">
        <v>468</v>
      </c>
      <c r="D111" s="30" t="s">
        <v>41</v>
      </c>
      <c r="E111" s="60" t="s">
        <v>469</v>
      </c>
      <c r="F111" s="60"/>
      <c r="G111" s="60"/>
      <c r="H111" s="61">
        <f ca="1">IFERROR(__xludf.DUMMYFUNCTION("MAX(IF(REGEXMATCH(E111,""^\d{1,2},\d{2}$""),VALUE(E111),0),IF(REGEXMATCH(F111,""^\d{1,2},\d{2}$""),VALUE(F111),0),IF(REGEXMATCH(G111,""^\d{1,2},\d{2}$""),VALUE(G111),0))"),36.53)</f>
        <v>36.53</v>
      </c>
      <c r="I111" s="21"/>
      <c r="J111" s="22"/>
    </row>
    <row r="112" spans="1:10" ht="13.2" x14ac:dyDescent="0.25">
      <c r="A112" s="17"/>
      <c r="B112" s="28">
        <v>4</v>
      </c>
      <c r="C112" s="29" t="s">
        <v>470</v>
      </c>
      <c r="D112" s="30" t="s">
        <v>41</v>
      </c>
      <c r="E112" s="60" t="s">
        <v>471</v>
      </c>
      <c r="F112" s="60"/>
      <c r="G112" s="60"/>
      <c r="H112" s="61">
        <f ca="1">IFERROR(__xludf.DUMMYFUNCTION("MAX(IF(REGEXMATCH(E112,""^\d{1,2},\d{2}$""),VALUE(E112),0),IF(REGEXMATCH(F112,""^\d{1,2},\d{2}$""),VALUE(F112),0),IF(REGEXMATCH(G112,""^\d{1,2},\d{2}$""),VALUE(G112),0))"),31.7)</f>
        <v>31.7</v>
      </c>
      <c r="I112" s="21"/>
      <c r="J112" s="22"/>
    </row>
    <row r="113" spans="1:10" ht="13.2" x14ac:dyDescent="0.25">
      <c r="A113" s="17"/>
      <c r="B113" s="28">
        <v>5</v>
      </c>
      <c r="C113" s="29" t="s">
        <v>472</v>
      </c>
      <c r="D113" s="30" t="s">
        <v>10</v>
      </c>
      <c r="E113" s="60" t="s">
        <v>473</v>
      </c>
      <c r="F113" s="60"/>
      <c r="G113" s="60"/>
      <c r="H113" s="61">
        <f ca="1">IFERROR(__xludf.DUMMYFUNCTION("MAX(IF(REGEXMATCH(E113,""^\d{1,2},\d{2}$""),VALUE(E113),0),IF(REGEXMATCH(F113,""^\d{1,2},\d{2}$""),VALUE(F113),0),IF(REGEXMATCH(G113,""^\d{1,2},\d{2}$""),VALUE(G113),0))"),45.09)</f>
        <v>45.09</v>
      </c>
      <c r="I113" s="21"/>
      <c r="J113" s="22"/>
    </row>
    <row r="114" spans="1:10" ht="13.2" x14ac:dyDescent="0.25">
      <c r="A114" s="17"/>
      <c r="B114" s="62" t="s">
        <v>18</v>
      </c>
      <c r="C114" s="36"/>
      <c r="D114" s="44" t="s">
        <v>474</v>
      </c>
      <c r="E114" s="38"/>
      <c r="F114" s="38"/>
      <c r="G114" s="38"/>
      <c r="H114" s="63"/>
      <c r="I114" s="21"/>
      <c r="J114" s="22"/>
    </row>
    <row r="115" spans="1:10" ht="13.2" x14ac:dyDescent="0.25">
      <c r="A115" s="17"/>
      <c r="B115" s="17"/>
      <c r="D115" s="18"/>
      <c r="E115" s="18"/>
      <c r="F115" s="18"/>
      <c r="G115" s="18"/>
      <c r="H115" s="58"/>
      <c r="I115" s="21"/>
      <c r="J115" s="22"/>
    </row>
    <row r="116" spans="1:10" ht="15.6" x14ac:dyDescent="0.25">
      <c r="A116" s="23">
        <v>15</v>
      </c>
      <c r="B116" s="97"/>
      <c r="C116" s="98"/>
      <c r="D116" s="98"/>
      <c r="E116" s="98"/>
      <c r="F116" s="98"/>
      <c r="G116" s="98"/>
      <c r="H116" s="59"/>
      <c r="I116" s="25">
        <f ca="1">IF(COUNTIFS(H117:H121,"&gt;0") &gt; 3, FLOOR((SUM(H117:H121)-MIN(H117,H118,H119,H120,H121))/4,0.0001), )</f>
        <v>0</v>
      </c>
      <c r="J116" s="26" t="str">
        <f ca="1">IF(I116=0,"",RANK(I116,$I$4:$I$224,))</f>
        <v/>
      </c>
    </row>
    <row r="117" spans="1:10" ht="13.2" x14ac:dyDescent="0.25">
      <c r="A117" s="17"/>
      <c r="B117" s="28">
        <v>1</v>
      </c>
      <c r="C117" s="29"/>
      <c r="D117" s="30"/>
      <c r="E117" s="60"/>
      <c r="F117" s="60"/>
      <c r="G117" s="60"/>
      <c r="H117" s="61">
        <f ca="1">IFERROR(__xludf.DUMMYFUNCTION("MAX(IF(REGEXMATCH(E117,""^\d{1,2},\d{2}$""),VALUE(E117),0),IF(REGEXMATCH(F117,""^\d{1,2},\d{2}$""),VALUE(F117),0),IF(REGEXMATCH(G117,""^\d{1,2},\d{2}$""),VALUE(G117),0))"),0)</f>
        <v>0</v>
      </c>
      <c r="I117" s="21"/>
      <c r="J117" s="22"/>
    </row>
    <row r="118" spans="1:10" ht="13.2" x14ac:dyDescent="0.25">
      <c r="A118" s="17"/>
      <c r="B118" s="28">
        <v>2</v>
      </c>
      <c r="C118" s="29"/>
      <c r="D118" s="30"/>
      <c r="E118" s="60"/>
      <c r="F118" s="60"/>
      <c r="G118" s="60"/>
      <c r="H118" s="61">
        <f ca="1">IFERROR(__xludf.DUMMYFUNCTION("MAX(IF(REGEXMATCH(E118,""^\d{1,2},\d{2}$""),VALUE(E118),0),IF(REGEXMATCH(F118,""^\d{1,2},\d{2}$""),VALUE(F118),0),IF(REGEXMATCH(G118,""^\d{1,2},\d{2}$""),VALUE(G118),0))"),0)</f>
        <v>0</v>
      </c>
      <c r="I118" s="21"/>
      <c r="J118" s="22"/>
    </row>
    <row r="119" spans="1:10" ht="13.2" x14ac:dyDescent="0.25">
      <c r="A119" s="17"/>
      <c r="B119" s="28">
        <v>3</v>
      </c>
      <c r="C119" s="29"/>
      <c r="D119" s="30"/>
      <c r="E119" s="60"/>
      <c r="F119" s="60"/>
      <c r="G119" s="60"/>
      <c r="H119" s="61">
        <f ca="1">IFERROR(__xludf.DUMMYFUNCTION("MAX(IF(REGEXMATCH(E119,""^\d{1,2},\d{2}$""),VALUE(E119),0),IF(REGEXMATCH(F119,""^\d{1,2},\d{2}$""),VALUE(F119),0),IF(REGEXMATCH(G119,""^\d{1,2},\d{2}$""),VALUE(G119),0))"),0)</f>
        <v>0</v>
      </c>
      <c r="I119" s="21"/>
      <c r="J119" s="22"/>
    </row>
    <row r="120" spans="1:10" ht="13.2" x14ac:dyDescent="0.25">
      <c r="A120" s="17"/>
      <c r="B120" s="28">
        <v>4</v>
      </c>
      <c r="C120" s="29"/>
      <c r="D120" s="30"/>
      <c r="E120" s="60"/>
      <c r="F120" s="60"/>
      <c r="G120" s="60"/>
      <c r="H120" s="61">
        <f ca="1">IFERROR(__xludf.DUMMYFUNCTION("MAX(IF(REGEXMATCH(E120,""^\d{1,2},\d{2}$""),VALUE(E120),0),IF(REGEXMATCH(F120,""^\d{1,2},\d{2}$""),VALUE(F120),0),IF(REGEXMATCH(G120,""^\d{1,2},\d{2}$""),VALUE(G120),0))"),0)</f>
        <v>0</v>
      </c>
      <c r="I120" s="21"/>
      <c r="J120" s="22"/>
    </row>
    <row r="121" spans="1:10" ht="13.2" x14ac:dyDescent="0.25">
      <c r="A121" s="17"/>
      <c r="B121" s="28">
        <v>5</v>
      </c>
      <c r="C121" s="29"/>
      <c r="D121" s="30"/>
      <c r="E121" s="60"/>
      <c r="F121" s="60"/>
      <c r="G121" s="60"/>
      <c r="H121" s="61">
        <f ca="1">IFERROR(__xludf.DUMMYFUNCTION("MAX(IF(REGEXMATCH(E121,""^\d{1,2},\d{2}$""),VALUE(E121),0),IF(REGEXMATCH(F121,""^\d{1,2},\d{2}$""),VALUE(F121),0),IF(REGEXMATCH(G121,""^\d{1,2},\d{2}$""),VALUE(G121),0))"),0)</f>
        <v>0</v>
      </c>
      <c r="I121" s="21"/>
      <c r="J121" s="22"/>
    </row>
    <row r="122" spans="1:10" ht="13.2" x14ac:dyDescent="0.25">
      <c r="A122" s="17"/>
      <c r="B122" s="62" t="s">
        <v>18</v>
      </c>
      <c r="C122" s="36"/>
      <c r="D122" s="44"/>
      <c r="E122" s="38"/>
      <c r="F122" s="38"/>
      <c r="G122" s="38"/>
      <c r="H122" s="63"/>
      <c r="I122" s="21"/>
      <c r="J122" s="22"/>
    </row>
    <row r="123" spans="1:10" ht="13.2" x14ac:dyDescent="0.25">
      <c r="A123" s="17"/>
      <c r="B123" s="17"/>
      <c r="D123" s="18"/>
      <c r="E123" s="18"/>
      <c r="F123" s="18"/>
      <c r="G123" s="18"/>
      <c r="H123" s="58"/>
      <c r="I123" s="21"/>
      <c r="J123" s="22"/>
    </row>
    <row r="124" spans="1:10" ht="15.6" x14ac:dyDescent="0.25">
      <c r="A124" s="23">
        <v>16</v>
      </c>
      <c r="B124" s="97"/>
      <c r="C124" s="98"/>
      <c r="D124" s="98"/>
      <c r="E124" s="98"/>
      <c r="F124" s="98"/>
      <c r="G124" s="98"/>
      <c r="H124" s="59"/>
      <c r="I124" s="25">
        <f ca="1">IF(COUNTIFS(H125:H129,"&gt;0") &gt; 3, FLOOR((SUM(H125:H129)-MIN(H125,H126,H127,H128,H129))/4,0.0001), )</f>
        <v>0</v>
      </c>
      <c r="J124" s="26" t="str">
        <f ca="1">IF(I124=0,"",RANK(I124,$I$4:$I$224,))</f>
        <v/>
      </c>
    </row>
    <row r="125" spans="1:10" ht="13.2" x14ac:dyDescent="0.25">
      <c r="A125" s="17"/>
      <c r="B125" s="28">
        <v>1</v>
      </c>
      <c r="C125" s="29"/>
      <c r="D125" s="30"/>
      <c r="E125" s="60"/>
      <c r="F125" s="60"/>
      <c r="G125" s="60"/>
      <c r="H125" s="61">
        <f ca="1">IFERROR(__xludf.DUMMYFUNCTION("MAX(IF(REGEXMATCH(E125,""^\d{1,2},\d{2}$""),VALUE(E125),0),IF(REGEXMATCH(F125,""^\d{1,2},\d{2}$""),VALUE(F125),0),IF(REGEXMATCH(G125,""^\d{1,2},\d{2}$""),VALUE(G125),0))"),0)</f>
        <v>0</v>
      </c>
      <c r="I125" s="21"/>
      <c r="J125" s="22"/>
    </row>
    <row r="126" spans="1:10" ht="13.2" x14ac:dyDescent="0.25">
      <c r="A126" s="17"/>
      <c r="B126" s="28">
        <v>2</v>
      </c>
      <c r="C126" s="29"/>
      <c r="D126" s="30"/>
      <c r="E126" s="60"/>
      <c r="F126" s="60"/>
      <c r="G126" s="60"/>
      <c r="H126" s="61">
        <f ca="1">IFERROR(__xludf.DUMMYFUNCTION("MAX(IF(REGEXMATCH(E126,""^\d{1,2},\d{2}$""),VALUE(E126),0),IF(REGEXMATCH(F126,""^\d{1,2},\d{2}$""),VALUE(F126),0),IF(REGEXMATCH(G126,""^\d{1,2},\d{2}$""),VALUE(G126),0))"),0)</f>
        <v>0</v>
      </c>
      <c r="I126" s="21"/>
      <c r="J126" s="22"/>
    </row>
    <row r="127" spans="1:10" ht="13.2" x14ac:dyDescent="0.25">
      <c r="A127" s="17"/>
      <c r="B127" s="28">
        <v>3</v>
      </c>
      <c r="C127" s="29"/>
      <c r="D127" s="30"/>
      <c r="E127" s="60"/>
      <c r="F127" s="60"/>
      <c r="G127" s="60"/>
      <c r="H127" s="61">
        <f ca="1">IFERROR(__xludf.DUMMYFUNCTION("MAX(IF(REGEXMATCH(E127,""^\d{1,2},\d{2}$""),VALUE(E127),0),IF(REGEXMATCH(F127,""^\d{1,2},\d{2}$""),VALUE(F127),0),IF(REGEXMATCH(G127,""^\d{1,2},\d{2}$""),VALUE(G127),0))"),0)</f>
        <v>0</v>
      </c>
      <c r="I127" s="21"/>
      <c r="J127" s="22"/>
    </row>
    <row r="128" spans="1:10" ht="13.2" x14ac:dyDescent="0.25">
      <c r="A128" s="17"/>
      <c r="B128" s="28">
        <v>4</v>
      </c>
      <c r="C128" s="29"/>
      <c r="D128" s="30"/>
      <c r="E128" s="60"/>
      <c r="F128" s="60"/>
      <c r="G128" s="60"/>
      <c r="H128" s="61">
        <f ca="1">IFERROR(__xludf.DUMMYFUNCTION("MAX(IF(REGEXMATCH(E128,""^\d{1,2},\d{2}$""),VALUE(E128),0),IF(REGEXMATCH(F128,""^\d{1,2},\d{2}$""),VALUE(F128),0),IF(REGEXMATCH(G128,""^\d{1,2},\d{2}$""),VALUE(G128),0))"),0)</f>
        <v>0</v>
      </c>
      <c r="I128" s="21"/>
      <c r="J128" s="22"/>
    </row>
    <row r="129" spans="1:10" ht="13.2" x14ac:dyDescent="0.25">
      <c r="A129" s="17"/>
      <c r="B129" s="28">
        <v>5</v>
      </c>
      <c r="C129" s="29"/>
      <c r="D129" s="30"/>
      <c r="E129" s="60"/>
      <c r="F129" s="60"/>
      <c r="G129" s="60"/>
      <c r="H129" s="61">
        <f ca="1">IFERROR(__xludf.DUMMYFUNCTION("MAX(IF(REGEXMATCH(E129,""^\d{1,2},\d{2}$""),VALUE(E129),0),IF(REGEXMATCH(F129,""^\d{1,2},\d{2}$""),VALUE(F129),0),IF(REGEXMATCH(G129,""^\d{1,2},\d{2}$""),VALUE(G129),0))"),0)</f>
        <v>0</v>
      </c>
      <c r="I129" s="21"/>
      <c r="J129" s="22"/>
    </row>
    <row r="130" spans="1:10" ht="13.2" x14ac:dyDescent="0.25">
      <c r="A130" s="17"/>
      <c r="B130" s="62" t="s">
        <v>18</v>
      </c>
      <c r="C130" s="36"/>
      <c r="D130" s="44"/>
      <c r="E130" s="38"/>
      <c r="F130" s="38"/>
      <c r="G130" s="38"/>
      <c r="H130" s="63"/>
      <c r="I130" s="21"/>
      <c r="J130" s="22"/>
    </row>
    <row r="131" spans="1:10" ht="13.2" x14ac:dyDescent="0.25">
      <c r="A131" s="17"/>
      <c r="B131" s="17"/>
      <c r="D131" s="18"/>
      <c r="E131" s="18"/>
      <c r="F131" s="18"/>
      <c r="G131" s="18"/>
      <c r="H131" s="58"/>
      <c r="I131" s="21"/>
      <c r="J131" s="22"/>
    </row>
    <row r="132" spans="1:10" ht="15.6" x14ac:dyDescent="0.25">
      <c r="A132" s="23">
        <v>17</v>
      </c>
      <c r="B132" s="97"/>
      <c r="C132" s="98"/>
      <c r="D132" s="98"/>
      <c r="E132" s="98"/>
      <c r="F132" s="98"/>
      <c r="G132" s="98"/>
      <c r="H132" s="59"/>
      <c r="I132" s="25">
        <f ca="1">IF(COUNTIFS(H133:H137,"&gt;0") &gt; 3, FLOOR((SUM(H133:H137)-MIN(H133,H134,H135,H136,H137))/4,0.0001), )</f>
        <v>0</v>
      </c>
      <c r="J132" s="26" t="str">
        <f ca="1">IF(I132=0,"",RANK(I132,$I$4:$I$224,))</f>
        <v/>
      </c>
    </row>
    <row r="133" spans="1:10" ht="13.2" x14ac:dyDescent="0.25">
      <c r="A133" s="17"/>
      <c r="B133" s="28">
        <v>1</v>
      </c>
      <c r="C133" s="29"/>
      <c r="D133" s="30"/>
      <c r="E133" s="60"/>
      <c r="F133" s="60"/>
      <c r="G133" s="60"/>
      <c r="H133" s="61">
        <f ca="1">IFERROR(__xludf.DUMMYFUNCTION("MAX(IF(REGEXMATCH(E133,""^\d{1,2},\d{2}$""),VALUE(E133),0),IF(REGEXMATCH(F133,""^\d{1,2},\d{2}$""),VALUE(F133),0),IF(REGEXMATCH(G133,""^\d{1,2},\d{2}$""),VALUE(G133),0))"),0)</f>
        <v>0</v>
      </c>
      <c r="I133" s="21"/>
      <c r="J133" s="22"/>
    </row>
    <row r="134" spans="1:10" ht="13.2" x14ac:dyDescent="0.25">
      <c r="A134" s="17"/>
      <c r="B134" s="28">
        <v>2</v>
      </c>
      <c r="C134" s="29"/>
      <c r="D134" s="30"/>
      <c r="E134" s="60"/>
      <c r="F134" s="60"/>
      <c r="G134" s="60"/>
      <c r="H134" s="61">
        <f ca="1">IFERROR(__xludf.DUMMYFUNCTION("MAX(IF(REGEXMATCH(E134,""^\d{1,2},\d{2}$""),VALUE(E134),0),IF(REGEXMATCH(F134,""^\d{1,2},\d{2}$""),VALUE(F134),0),IF(REGEXMATCH(G134,""^\d{1,2},\d{2}$""),VALUE(G134),0))"),0)</f>
        <v>0</v>
      </c>
      <c r="I134" s="21"/>
      <c r="J134" s="22"/>
    </row>
    <row r="135" spans="1:10" ht="13.2" x14ac:dyDescent="0.25">
      <c r="A135" s="17"/>
      <c r="B135" s="28">
        <v>3</v>
      </c>
      <c r="C135" s="29"/>
      <c r="D135" s="30"/>
      <c r="E135" s="60"/>
      <c r="F135" s="60"/>
      <c r="G135" s="60"/>
      <c r="H135" s="61">
        <f ca="1">IFERROR(__xludf.DUMMYFUNCTION("MAX(IF(REGEXMATCH(E135,""^\d{1,2},\d{2}$""),VALUE(E135),0),IF(REGEXMATCH(F135,""^\d{1,2},\d{2}$""),VALUE(F135),0),IF(REGEXMATCH(G135,""^\d{1,2},\d{2}$""),VALUE(G135),0))"),0)</f>
        <v>0</v>
      </c>
      <c r="I135" s="21"/>
      <c r="J135" s="22"/>
    </row>
    <row r="136" spans="1:10" ht="13.2" x14ac:dyDescent="0.25">
      <c r="A136" s="17"/>
      <c r="B136" s="28">
        <v>4</v>
      </c>
      <c r="C136" s="29"/>
      <c r="D136" s="30"/>
      <c r="E136" s="60"/>
      <c r="F136" s="60"/>
      <c r="G136" s="60"/>
      <c r="H136" s="61">
        <f ca="1">IFERROR(__xludf.DUMMYFUNCTION("MAX(IF(REGEXMATCH(E136,""^\d{1,2},\d{2}$""),VALUE(E136),0),IF(REGEXMATCH(F136,""^\d{1,2},\d{2}$""),VALUE(F136),0),IF(REGEXMATCH(G136,""^\d{1,2},\d{2}$""),VALUE(G136),0))"),0)</f>
        <v>0</v>
      </c>
      <c r="I136" s="21"/>
      <c r="J136" s="22"/>
    </row>
    <row r="137" spans="1:10" ht="13.2" x14ac:dyDescent="0.25">
      <c r="A137" s="17"/>
      <c r="B137" s="28">
        <v>5</v>
      </c>
      <c r="C137" s="29"/>
      <c r="D137" s="30"/>
      <c r="E137" s="60"/>
      <c r="F137" s="60"/>
      <c r="G137" s="60"/>
      <c r="H137" s="61">
        <f ca="1">IFERROR(__xludf.DUMMYFUNCTION("MAX(IF(REGEXMATCH(E137,""^\d{1,2},\d{2}$""),VALUE(E137),0),IF(REGEXMATCH(F137,""^\d{1,2},\d{2}$""),VALUE(F137),0),IF(REGEXMATCH(G137,""^\d{1,2},\d{2}$""),VALUE(G137),0))"),0)</f>
        <v>0</v>
      </c>
      <c r="I137" s="21"/>
      <c r="J137" s="22"/>
    </row>
    <row r="138" spans="1:10" ht="13.2" x14ac:dyDescent="0.25">
      <c r="A138" s="17"/>
      <c r="B138" s="62" t="s">
        <v>18</v>
      </c>
      <c r="C138" s="36"/>
      <c r="D138" s="44"/>
      <c r="E138" s="38"/>
      <c r="F138" s="38"/>
      <c r="G138" s="38"/>
      <c r="H138" s="63"/>
      <c r="I138" s="21"/>
      <c r="J138" s="22"/>
    </row>
    <row r="139" spans="1:10" ht="13.2" x14ac:dyDescent="0.25">
      <c r="A139" s="17"/>
      <c r="B139" s="17"/>
      <c r="D139" s="18"/>
      <c r="E139" s="18"/>
      <c r="F139" s="18"/>
      <c r="G139" s="18"/>
      <c r="H139" s="58"/>
      <c r="I139" s="21"/>
      <c r="J139" s="22"/>
    </row>
    <row r="140" spans="1:10" ht="15.6" x14ac:dyDescent="0.25">
      <c r="A140" s="23">
        <v>18</v>
      </c>
      <c r="B140" s="97"/>
      <c r="C140" s="98"/>
      <c r="D140" s="98"/>
      <c r="E140" s="98"/>
      <c r="F140" s="98"/>
      <c r="G140" s="98"/>
      <c r="H140" s="59"/>
      <c r="I140" s="25">
        <f ca="1">IF(COUNTIFS(H141:H145,"&gt;0") &gt; 3, FLOOR((SUM(H141:H145)-MIN(H141,H142,H143,H144,H145))/4,0.0001), )</f>
        <v>0</v>
      </c>
      <c r="J140" s="26" t="str">
        <f ca="1">IF(I140=0,"",RANK(I140,$I$4:$I$224,))</f>
        <v/>
      </c>
    </row>
    <row r="141" spans="1:10" ht="13.2" x14ac:dyDescent="0.25">
      <c r="A141" s="17"/>
      <c r="B141" s="28">
        <v>1</v>
      </c>
      <c r="C141" s="29"/>
      <c r="D141" s="30"/>
      <c r="E141" s="60"/>
      <c r="F141" s="60"/>
      <c r="G141" s="60"/>
      <c r="H141" s="61">
        <f ca="1">IFERROR(__xludf.DUMMYFUNCTION("MAX(IF(REGEXMATCH(E141,""^\d{1,2},\d{2}$""),VALUE(E141),0),IF(REGEXMATCH(F141,""^\d{1,2},\d{2}$""),VALUE(F141),0),IF(REGEXMATCH(G141,""^\d{1,2},\d{2}$""),VALUE(G141),0))"),0)</f>
        <v>0</v>
      </c>
      <c r="I141" s="21"/>
      <c r="J141" s="22"/>
    </row>
    <row r="142" spans="1:10" ht="13.2" x14ac:dyDescent="0.25">
      <c r="A142" s="17"/>
      <c r="B142" s="28">
        <v>2</v>
      </c>
      <c r="C142" s="29"/>
      <c r="D142" s="30"/>
      <c r="E142" s="60"/>
      <c r="F142" s="60"/>
      <c r="G142" s="60"/>
      <c r="H142" s="61">
        <f ca="1">IFERROR(__xludf.DUMMYFUNCTION("MAX(IF(REGEXMATCH(E142,""^\d{1,2},\d{2}$""),VALUE(E142),0),IF(REGEXMATCH(F142,""^\d{1,2},\d{2}$""),VALUE(F142),0),IF(REGEXMATCH(G142,""^\d{1,2},\d{2}$""),VALUE(G142),0))"),0)</f>
        <v>0</v>
      </c>
      <c r="I142" s="21"/>
      <c r="J142" s="22"/>
    </row>
    <row r="143" spans="1:10" ht="13.2" x14ac:dyDescent="0.25">
      <c r="A143" s="17"/>
      <c r="B143" s="28">
        <v>3</v>
      </c>
      <c r="C143" s="29"/>
      <c r="D143" s="30"/>
      <c r="E143" s="60"/>
      <c r="F143" s="60"/>
      <c r="G143" s="60"/>
      <c r="H143" s="61">
        <f ca="1">IFERROR(__xludf.DUMMYFUNCTION("MAX(IF(REGEXMATCH(E143,""^\d{1,2},\d{2}$""),VALUE(E143),0),IF(REGEXMATCH(F143,""^\d{1,2},\d{2}$""),VALUE(F143),0),IF(REGEXMATCH(G143,""^\d{1,2},\d{2}$""),VALUE(G143),0))"),0)</f>
        <v>0</v>
      </c>
      <c r="I143" s="21"/>
      <c r="J143" s="22"/>
    </row>
    <row r="144" spans="1:10" ht="13.2" x14ac:dyDescent="0.25">
      <c r="A144" s="17"/>
      <c r="B144" s="28">
        <v>4</v>
      </c>
      <c r="C144" s="29"/>
      <c r="D144" s="30"/>
      <c r="E144" s="60"/>
      <c r="F144" s="60"/>
      <c r="G144" s="60"/>
      <c r="H144" s="61">
        <f ca="1">IFERROR(__xludf.DUMMYFUNCTION("MAX(IF(REGEXMATCH(E144,""^\d{1,2},\d{2}$""),VALUE(E144),0),IF(REGEXMATCH(F144,""^\d{1,2},\d{2}$""),VALUE(F144),0),IF(REGEXMATCH(G144,""^\d{1,2},\d{2}$""),VALUE(G144),0))"),0)</f>
        <v>0</v>
      </c>
      <c r="I144" s="21"/>
      <c r="J144" s="22"/>
    </row>
    <row r="145" spans="1:10" ht="13.2" x14ac:dyDescent="0.25">
      <c r="A145" s="17"/>
      <c r="B145" s="28">
        <v>5</v>
      </c>
      <c r="C145" s="29"/>
      <c r="D145" s="30"/>
      <c r="E145" s="60"/>
      <c r="F145" s="60"/>
      <c r="G145" s="60"/>
      <c r="H145" s="61">
        <f ca="1">IFERROR(__xludf.DUMMYFUNCTION("MAX(IF(REGEXMATCH(E145,""^\d{1,2},\d{2}$""),VALUE(E145),0),IF(REGEXMATCH(F145,""^\d{1,2},\d{2}$""),VALUE(F145),0),IF(REGEXMATCH(G145,""^\d{1,2},\d{2}$""),VALUE(G145),0))"),0)</f>
        <v>0</v>
      </c>
      <c r="I145" s="21"/>
      <c r="J145" s="22"/>
    </row>
    <row r="146" spans="1:10" ht="13.2" x14ac:dyDescent="0.25">
      <c r="A146" s="17"/>
      <c r="B146" s="62" t="s">
        <v>18</v>
      </c>
      <c r="C146" s="36"/>
      <c r="D146" s="44"/>
      <c r="E146" s="38"/>
      <c r="F146" s="38"/>
      <c r="G146" s="38"/>
      <c r="H146" s="63"/>
      <c r="I146" s="21"/>
      <c r="J146" s="22"/>
    </row>
    <row r="147" spans="1:10" ht="13.2" x14ac:dyDescent="0.25">
      <c r="A147" s="17"/>
      <c r="B147" s="17"/>
      <c r="D147" s="18"/>
      <c r="E147" s="18"/>
      <c r="F147" s="18"/>
      <c r="G147" s="18"/>
      <c r="H147" s="58"/>
      <c r="I147" s="21"/>
      <c r="J147" s="22"/>
    </row>
    <row r="148" spans="1:10" ht="15.6" x14ac:dyDescent="0.25">
      <c r="A148" s="23">
        <v>19</v>
      </c>
      <c r="B148" s="97"/>
      <c r="C148" s="98"/>
      <c r="D148" s="98"/>
      <c r="E148" s="98"/>
      <c r="F148" s="98"/>
      <c r="G148" s="98"/>
      <c r="H148" s="99"/>
      <c r="I148" s="25">
        <f ca="1">IF(COUNTIFS(H149:H153,"&gt;0") &gt; 3, FLOOR((SUM(H149:H153)-MIN(H149,H150,H151,H152,H153))/4,0.0001), )</f>
        <v>0</v>
      </c>
      <c r="J148" s="26" t="str">
        <f ca="1">IF(I148=0,"",RANK(I148,$I$4:$I$224,))</f>
        <v/>
      </c>
    </row>
    <row r="149" spans="1:10" ht="13.2" x14ac:dyDescent="0.25">
      <c r="A149" s="17"/>
      <c r="B149" s="28">
        <v>1</v>
      </c>
      <c r="C149" s="29"/>
      <c r="D149" s="30"/>
      <c r="E149" s="60"/>
      <c r="F149" s="60"/>
      <c r="G149" s="60"/>
      <c r="H149" s="61">
        <f ca="1">IFERROR(__xludf.DUMMYFUNCTION("MAX(IF(REGEXMATCH(E149,""^\d{1,2},\d{2}$""),VALUE(E149),0),IF(REGEXMATCH(F149,""^\d{1,2},\d{2}$""),VALUE(F149),0),IF(REGEXMATCH(G149,""^\d{1,2},\d{2}$""),VALUE(G149),0))"),0)</f>
        <v>0</v>
      </c>
      <c r="I149" s="21"/>
      <c r="J149" s="22"/>
    </row>
    <row r="150" spans="1:10" ht="13.2" x14ac:dyDescent="0.25">
      <c r="A150" s="17"/>
      <c r="B150" s="28">
        <v>2</v>
      </c>
      <c r="C150" s="29"/>
      <c r="D150" s="30"/>
      <c r="E150" s="60"/>
      <c r="F150" s="60"/>
      <c r="G150" s="60"/>
      <c r="H150" s="61">
        <f ca="1">IFERROR(__xludf.DUMMYFUNCTION("MAX(IF(REGEXMATCH(E150,""^\d{1,2},\d{2}$""),VALUE(E150),0),IF(REGEXMATCH(F150,""^\d{1,2},\d{2}$""),VALUE(F150),0),IF(REGEXMATCH(G150,""^\d{1,2},\d{2}$""),VALUE(G150),0))"),0)</f>
        <v>0</v>
      </c>
      <c r="I150" s="21"/>
      <c r="J150" s="22"/>
    </row>
    <row r="151" spans="1:10" ht="13.2" x14ac:dyDescent="0.25">
      <c r="A151" s="17"/>
      <c r="B151" s="28">
        <v>3</v>
      </c>
      <c r="C151" s="29"/>
      <c r="D151" s="30"/>
      <c r="E151" s="60"/>
      <c r="F151" s="60"/>
      <c r="G151" s="60"/>
      <c r="H151" s="61">
        <f ca="1">IFERROR(__xludf.DUMMYFUNCTION("MAX(IF(REGEXMATCH(E151,""^\d{1,2},\d{2}$""),VALUE(E151),0),IF(REGEXMATCH(F151,""^\d{1,2},\d{2}$""),VALUE(F151),0),IF(REGEXMATCH(G151,""^\d{1,2},\d{2}$""),VALUE(G151),0))"),0)</f>
        <v>0</v>
      </c>
      <c r="I151" s="21"/>
      <c r="J151" s="22"/>
    </row>
    <row r="152" spans="1:10" ht="13.2" x14ac:dyDescent="0.25">
      <c r="A152" s="17"/>
      <c r="B152" s="28">
        <v>4</v>
      </c>
      <c r="C152" s="29"/>
      <c r="D152" s="30"/>
      <c r="E152" s="60"/>
      <c r="F152" s="60"/>
      <c r="G152" s="60"/>
      <c r="H152" s="61">
        <f ca="1">IFERROR(__xludf.DUMMYFUNCTION("MAX(IF(REGEXMATCH(E152,""^\d{1,2},\d{2}$""),VALUE(E152),0),IF(REGEXMATCH(F152,""^\d{1,2},\d{2}$""),VALUE(F152),0),IF(REGEXMATCH(G152,""^\d{1,2},\d{2}$""),VALUE(G152),0))"),0)</f>
        <v>0</v>
      </c>
      <c r="I152" s="21"/>
      <c r="J152" s="22"/>
    </row>
    <row r="153" spans="1:10" ht="13.2" x14ac:dyDescent="0.25">
      <c r="A153" s="17"/>
      <c r="B153" s="28">
        <v>5</v>
      </c>
      <c r="C153" s="29"/>
      <c r="D153" s="30"/>
      <c r="E153" s="60"/>
      <c r="F153" s="60"/>
      <c r="G153" s="60"/>
      <c r="H153" s="61">
        <f ca="1">IFERROR(__xludf.DUMMYFUNCTION("MAX(IF(REGEXMATCH(E153,""^\d{1,2},\d{2}$""),VALUE(E153),0),IF(REGEXMATCH(F153,""^\d{1,2},\d{2}$""),VALUE(F153),0),IF(REGEXMATCH(G153,""^\d{1,2},\d{2}$""),VALUE(G153),0))"),0)</f>
        <v>0</v>
      </c>
      <c r="I153" s="21"/>
      <c r="J153" s="22"/>
    </row>
    <row r="154" spans="1:10" ht="13.2" x14ac:dyDescent="0.25">
      <c r="A154" s="17"/>
      <c r="B154" s="62" t="s">
        <v>18</v>
      </c>
      <c r="C154" s="36"/>
      <c r="D154" s="44"/>
      <c r="E154" s="38"/>
      <c r="F154" s="38"/>
      <c r="G154" s="38"/>
      <c r="H154" s="63"/>
      <c r="I154" s="21"/>
      <c r="J154" s="22"/>
    </row>
    <row r="155" spans="1:10" ht="13.2" x14ac:dyDescent="0.25">
      <c r="A155" s="17"/>
      <c r="B155" s="17"/>
      <c r="D155" s="18"/>
      <c r="E155" s="18"/>
      <c r="F155" s="18"/>
      <c r="G155" s="18"/>
      <c r="H155" s="58"/>
      <c r="I155" s="21"/>
      <c r="J155" s="22"/>
    </row>
    <row r="156" spans="1:10" ht="15.6" x14ac:dyDescent="0.25">
      <c r="A156" s="23">
        <v>20</v>
      </c>
      <c r="B156" s="97"/>
      <c r="C156" s="98"/>
      <c r="D156" s="98"/>
      <c r="E156" s="98"/>
      <c r="F156" s="98"/>
      <c r="G156" s="98"/>
      <c r="H156" s="59"/>
      <c r="I156" s="25">
        <f ca="1">IF(COUNTIFS(H157:H161,"&gt;0") &gt; 3, FLOOR((SUM(H157:H161)-MIN(H157,H158,H159,H160,H161))/4,0.0001), )</f>
        <v>0</v>
      </c>
      <c r="J156" s="26" t="str">
        <f ca="1">IF(I156=0,"",RANK(I156,$I$4:$I$224,))</f>
        <v/>
      </c>
    </row>
    <row r="157" spans="1:10" ht="13.2" x14ac:dyDescent="0.25">
      <c r="A157" s="17"/>
      <c r="B157" s="28">
        <v>1</v>
      </c>
      <c r="C157" s="29"/>
      <c r="D157" s="30"/>
      <c r="E157" s="60"/>
      <c r="F157" s="60"/>
      <c r="G157" s="60"/>
      <c r="H157" s="61">
        <f ca="1">IFERROR(__xludf.DUMMYFUNCTION("MAX(IF(REGEXMATCH(E157,""^\d{1,2},\d{2}$""),VALUE(E157),0),IF(REGEXMATCH(F157,""^\d{1,2},\d{2}$""),VALUE(F157),0),IF(REGEXMATCH(G157,""^\d{1,2},\d{2}$""),VALUE(G157),0))"),0)</f>
        <v>0</v>
      </c>
      <c r="I157" s="21"/>
      <c r="J157" s="22"/>
    </row>
    <row r="158" spans="1:10" ht="13.2" x14ac:dyDescent="0.25">
      <c r="A158" s="17"/>
      <c r="B158" s="28">
        <v>2</v>
      </c>
      <c r="C158" s="29"/>
      <c r="D158" s="30"/>
      <c r="E158" s="60"/>
      <c r="F158" s="60"/>
      <c r="G158" s="60"/>
      <c r="H158" s="61">
        <f ca="1">IFERROR(__xludf.DUMMYFUNCTION("MAX(IF(REGEXMATCH(E158,""^\d{1,2},\d{2}$""),VALUE(E158),0),IF(REGEXMATCH(F158,""^\d{1,2},\d{2}$""),VALUE(F158),0),IF(REGEXMATCH(G158,""^\d{1,2},\d{2}$""),VALUE(G158),0))"),0)</f>
        <v>0</v>
      </c>
      <c r="I158" s="21"/>
      <c r="J158" s="22"/>
    </row>
    <row r="159" spans="1:10" ht="13.2" x14ac:dyDescent="0.25">
      <c r="A159" s="17"/>
      <c r="B159" s="28">
        <v>3</v>
      </c>
      <c r="C159" s="29"/>
      <c r="D159" s="30"/>
      <c r="E159" s="60"/>
      <c r="F159" s="60"/>
      <c r="G159" s="60"/>
      <c r="H159" s="61">
        <f ca="1">IFERROR(__xludf.DUMMYFUNCTION("MAX(IF(REGEXMATCH(E159,""^\d{1,2},\d{2}$""),VALUE(E159),0),IF(REGEXMATCH(F159,""^\d{1,2},\d{2}$""),VALUE(F159),0),IF(REGEXMATCH(G159,""^\d{1,2},\d{2}$""),VALUE(G159),0))"),0)</f>
        <v>0</v>
      </c>
      <c r="I159" s="21"/>
      <c r="J159" s="22"/>
    </row>
    <row r="160" spans="1:10" ht="13.2" x14ac:dyDescent="0.25">
      <c r="A160" s="17"/>
      <c r="B160" s="28">
        <v>4</v>
      </c>
      <c r="C160" s="29"/>
      <c r="D160" s="30"/>
      <c r="E160" s="60"/>
      <c r="F160" s="60"/>
      <c r="G160" s="60"/>
      <c r="H160" s="61">
        <f ca="1">IFERROR(__xludf.DUMMYFUNCTION("MAX(IF(REGEXMATCH(E160,""^\d{1,2},\d{2}$""),VALUE(E160),0),IF(REGEXMATCH(F160,""^\d{1,2},\d{2}$""),VALUE(F160),0),IF(REGEXMATCH(G160,""^\d{1,2},\d{2}$""),VALUE(G160),0))"),0)</f>
        <v>0</v>
      </c>
      <c r="I160" s="21"/>
      <c r="J160" s="22"/>
    </row>
    <row r="161" spans="1:10" ht="13.2" x14ac:dyDescent="0.25">
      <c r="A161" s="17"/>
      <c r="B161" s="28">
        <v>5</v>
      </c>
      <c r="C161" s="29"/>
      <c r="D161" s="30"/>
      <c r="E161" s="60"/>
      <c r="F161" s="60"/>
      <c r="G161" s="60"/>
      <c r="H161" s="61">
        <f ca="1">IFERROR(__xludf.DUMMYFUNCTION("MAX(IF(REGEXMATCH(E161,""^\d{1,2},\d{2}$""),VALUE(E161),0),IF(REGEXMATCH(F161,""^\d{1,2},\d{2}$""),VALUE(F161),0),IF(REGEXMATCH(G161,""^\d{1,2},\d{2}$""),VALUE(G161),0))"),0)</f>
        <v>0</v>
      </c>
      <c r="I161" s="21"/>
      <c r="J161" s="22"/>
    </row>
    <row r="162" spans="1:10" ht="13.2" x14ac:dyDescent="0.25">
      <c r="A162" s="17"/>
      <c r="B162" s="62" t="s">
        <v>18</v>
      </c>
      <c r="C162" s="36"/>
      <c r="D162" s="44"/>
      <c r="E162" s="38"/>
      <c r="F162" s="38"/>
      <c r="G162" s="38"/>
      <c r="H162" s="63"/>
      <c r="I162" s="21"/>
      <c r="J162" s="22"/>
    </row>
    <row r="163" spans="1:10" ht="13.2" x14ac:dyDescent="0.25">
      <c r="A163" s="17"/>
      <c r="B163" s="17"/>
      <c r="D163" s="18"/>
      <c r="E163" s="18"/>
      <c r="F163" s="18"/>
      <c r="G163" s="18"/>
      <c r="H163" s="58"/>
      <c r="I163" s="21"/>
      <c r="J163" s="22"/>
    </row>
    <row r="164" spans="1:10" ht="15.6" x14ac:dyDescent="0.25">
      <c r="A164" s="23">
        <v>21</v>
      </c>
      <c r="B164" s="97"/>
      <c r="C164" s="98"/>
      <c r="D164" s="98"/>
      <c r="E164" s="98"/>
      <c r="F164" s="98"/>
      <c r="G164" s="98"/>
      <c r="H164" s="59"/>
      <c r="I164" s="25">
        <f ca="1">IF(COUNTIFS(H165:H169,"&gt;0") &gt; 3, FLOOR((SUM(H165:H169)-MIN(H165,H166,H167,H168,H169))/4,0.0001), )</f>
        <v>0</v>
      </c>
      <c r="J164" s="26" t="str">
        <f ca="1">IF(I164=0,"",RANK(I164,$I$4:$I$224,))</f>
        <v/>
      </c>
    </row>
    <row r="165" spans="1:10" ht="13.2" x14ac:dyDescent="0.25">
      <c r="A165" s="17"/>
      <c r="B165" s="28">
        <v>1</v>
      </c>
      <c r="C165" s="29"/>
      <c r="D165" s="30"/>
      <c r="E165" s="60"/>
      <c r="F165" s="60"/>
      <c r="G165" s="60"/>
      <c r="H165" s="61">
        <f ca="1">IFERROR(__xludf.DUMMYFUNCTION("MAX(IF(REGEXMATCH(E165,""^\d{1,2},\d{2}$""),VALUE(E165),0),IF(REGEXMATCH(F165,""^\d{1,2},\d{2}$""),VALUE(F165),0),IF(REGEXMATCH(G165,""^\d{1,2},\d{2}$""),VALUE(G165),0))"),0)</f>
        <v>0</v>
      </c>
      <c r="I165" s="21"/>
      <c r="J165" s="22"/>
    </row>
    <row r="166" spans="1:10" ht="13.2" x14ac:dyDescent="0.25">
      <c r="A166" s="17"/>
      <c r="B166" s="28">
        <v>2</v>
      </c>
      <c r="C166" s="29"/>
      <c r="D166" s="30"/>
      <c r="E166" s="60"/>
      <c r="F166" s="60"/>
      <c r="G166" s="60"/>
      <c r="H166" s="61">
        <f ca="1">IFERROR(__xludf.DUMMYFUNCTION("MAX(IF(REGEXMATCH(E166,""^\d{1,2},\d{2}$""),VALUE(E166),0),IF(REGEXMATCH(F166,""^\d{1,2},\d{2}$""),VALUE(F166),0),IF(REGEXMATCH(G166,""^\d{1,2},\d{2}$""),VALUE(G166),0))"),0)</f>
        <v>0</v>
      </c>
      <c r="I166" s="21"/>
      <c r="J166" s="22"/>
    </row>
    <row r="167" spans="1:10" ht="13.2" x14ac:dyDescent="0.25">
      <c r="A167" s="17"/>
      <c r="B167" s="28">
        <v>3</v>
      </c>
      <c r="C167" s="29"/>
      <c r="D167" s="30"/>
      <c r="E167" s="60"/>
      <c r="F167" s="60"/>
      <c r="G167" s="60"/>
      <c r="H167" s="61">
        <f ca="1">IFERROR(__xludf.DUMMYFUNCTION("MAX(IF(REGEXMATCH(E167,""^\d{1,2},\d{2}$""),VALUE(E167),0),IF(REGEXMATCH(F167,""^\d{1,2},\d{2}$""),VALUE(F167),0),IF(REGEXMATCH(G167,""^\d{1,2},\d{2}$""),VALUE(G167),0))"),0)</f>
        <v>0</v>
      </c>
      <c r="I167" s="21"/>
      <c r="J167" s="22"/>
    </row>
    <row r="168" spans="1:10" ht="13.2" x14ac:dyDescent="0.25">
      <c r="A168" s="17"/>
      <c r="B168" s="28">
        <v>4</v>
      </c>
      <c r="C168" s="29"/>
      <c r="D168" s="30"/>
      <c r="E168" s="60"/>
      <c r="F168" s="60"/>
      <c r="G168" s="60"/>
      <c r="H168" s="61">
        <f ca="1">IFERROR(__xludf.DUMMYFUNCTION("MAX(IF(REGEXMATCH(E168,""^\d{1,2},\d{2}$""),VALUE(E168),0),IF(REGEXMATCH(F168,""^\d{1,2},\d{2}$""),VALUE(F168),0),IF(REGEXMATCH(G168,""^\d{1,2},\d{2}$""),VALUE(G168),0))"),0)</f>
        <v>0</v>
      </c>
      <c r="I168" s="21"/>
      <c r="J168" s="22"/>
    </row>
    <row r="169" spans="1:10" ht="13.2" x14ac:dyDescent="0.25">
      <c r="A169" s="17"/>
      <c r="B169" s="28">
        <v>5</v>
      </c>
      <c r="C169" s="29"/>
      <c r="D169" s="30"/>
      <c r="E169" s="60"/>
      <c r="F169" s="60"/>
      <c r="G169" s="60"/>
      <c r="H169" s="61">
        <f ca="1">IFERROR(__xludf.DUMMYFUNCTION("MAX(IF(REGEXMATCH(E169,""^\d{1,2},\d{2}$""),VALUE(E169),0),IF(REGEXMATCH(F169,""^\d{1,2},\d{2}$""),VALUE(F169),0),IF(REGEXMATCH(G169,""^\d{1,2},\d{2}$""),VALUE(G169),0))"),0)</f>
        <v>0</v>
      </c>
      <c r="I169" s="21"/>
      <c r="J169" s="22"/>
    </row>
    <row r="170" spans="1:10" ht="13.2" x14ac:dyDescent="0.25">
      <c r="A170" s="17"/>
      <c r="B170" s="62" t="s">
        <v>18</v>
      </c>
      <c r="C170" s="36"/>
      <c r="D170" s="44"/>
      <c r="E170" s="38"/>
      <c r="F170" s="38"/>
      <c r="G170" s="38"/>
      <c r="H170" s="63"/>
      <c r="I170" s="21"/>
      <c r="J170" s="22"/>
    </row>
    <row r="171" spans="1:10" ht="13.2" x14ac:dyDescent="0.25">
      <c r="A171" s="17"/>
      <c r="B171" s="17"/>
      <c r="D171" s="18"/>
      <c r="E171" s="18"/>
      <c r="F171" s="18"/>
      <c r="G171" s="18"/>
      <c r="H171" s="58"/>
      <c r="I171" s="21"/>
      <c r="J171" s="22"/>
    </row>
    <row r="172" spans="1:10" ht="15.6" x14ac:dyDescent="0.25">
      <c r="A172" s="46">
        <v>22</v>
      </c>
      <c r="B172" s="97"/>
      <c r="C172" s="98"/>
      <c r="D172" s="98"/>
      <c r="E172" s="98"/>
      <c r="F172" s="98"/>
      <c r="G172" s="98"/>
      <c r="H172" s="59"/>
      <c r="I172" s="25">
        <f ca="1">IF(COUNTIFS(H173:H177,"&gt;0") &gt; 3, FLOOR((SUM(H173:H177)-MIN(H173,H174,H175,H176,H177))/4,0.0001), )</f>
        <v>0</v>
      </c>
      <c r="J172" s="26" t="str">
        <f ca="1">IF(I172=0,"",RANK(I172,$I$4:$I$224,))</f>
        <v/>
      </c>
    </row>
    <row r="173" spans="1:10" ht="13.2" x14ac:dyDescent="0.25">
      <c r="A173" s="52"/>
      <c r="B173" s="48">
        <v>1</v>
      </c>
      <c r="C173" s="49"/>
      <c r="D173" s="50"/>
      <c r="E173" s="60"/>
      <c r="F173" s="60"/>
      <c r="G173" s="60"/>
      <c r="H173" s="61">
        <f ca="1">IFERROR(__xludf.DUMMYFUNCTION("MAX(IF(REGEXMATCH(E173,""^\d{1,2},\d{2}$""),VALUE(E173),0),IF(REGEXMATCH(F173,""^\d{1,2},\d{2}$""),VALUE(F173),0),IF(REGEXMATCH(G173,""^\d{1,2},\d{2}$""),VALUE(G173),0))"),0)</f>
        <v>0</v>
      </c>
      <c r="I173" s="51"/>
      <c r="J173" s="52"/>
    </row>
    <row r="174" spans="1:10" ht="13.2" x14ac:dyDescent="0.25">
      <c r="A174" s="52"/>
      <c r="B174" s="48">
        <v>2</v>
      </c>
      <c r="C174" s="49"/>
      <c r="D174" s="50"/>
      <c r="E174" s="60"/>
      <c r="F174" s="60"/>
      <c r="G174" s="60"/>
      <c r="H174" s="61">
        <f ca="1">IFERROR(__xludf.DUMMYFUNCTION("MAX(IF(REGEXMATCH(E174,""^\d{1,2},\d{2}$""),VALUE(E174),0),IF(REGEXMATCH(F174,""^\d{1,2},\d{2}$""),VALUE(F174),0),IF(REGEXMATCH(G174,""^\d{1,2},\d{2}$""),VALUE(G174),0))"),0)</f>
        <v>0</v>
      </c>
      <c r="I174" s="51"/>
      <c r="J174" s="52"/>
    </row>
    <row r="175" spans="1:10" ht="13.2" x14ac:dyDescent="0.25">
      <c r="A175" s="52"/>
      <c r="B175" s="48">
        <v>3</v>
      </c>
      <c r="C175" s="49"/>
      <c r="D175" s="50"/>
      <c r="E175" s="60"/>
      <c r="F175" s="60"/>
      <c r="G175" s="60"/>
      <c r="H175" s="61">
        <f ca="1">IFERROR(__xludf.DUMMYFUNCTION("MAX(IF(REGEXMATCH(E175,""^\d{1,2},\d{2}$""),VALUE(E175),0),IF(REGEXMATCH(F175,""^\d{1,2},\d{2}$""),VALUE(F175),0),IF(REGEXMATCH(G175,""^\d{1,2},\d{2}$""),VALUE(G175),0))"),0)</f>
        <v>0</v>
      </c>
      <c r="I175" s="51"/>
      <c r="J175" s="52"/>
    </row>
    <row r="176" spans="1:10" ht="13.2" x14ac:dyDescent="0.25">
      <c r="A176" s="52"/>
      <c r="B176" s="48">
        <v>4</v>
      </c>
      <c r="C176" s="49"/>
      <c r="D176" s="50"/>
      <c r="E176" s="60"/>
      <c r="F176" s="60"/>
      <c r="G176" s="60"/>
      <c r="H176" s="61">
        <f ca="1">IFERROR(__xludf.DUMMYFUNCTION("MAX(IF(REGEXMATCH(E176,""^\d{1,2},\d{2}$""),VALUE(E176),0),IF(REGEXMATCH(F176,""^\d{1,2},\d{2}$""),VALUE(F176),0),IF(REGEXMATCH(G176,""^\d{1,2},\d{2}$""),VALUE(G176),0))"),0)</f>
        <v>0</v>
      </c>
      <c r="I176" s="51"/>
      <c r="J176" s="52"/>
    </row>
    <row r="177" spans="1:10" ht="13.2" x14ac:dyDescent="0.25">
      <c r="A177" s="52"/>
      <c r="B177" s="48">
        <v>5</v>
      </c>
      <c r="C177" s="49"/>
      <c r="D177" s="50"/>
      <c r="E177" s="60"/>
      <c r="F177" s="60"/>
      <c r="G177" s="60"/>
      <c r="H177" s="61">
        <f ca="1">IFERROR(__xludf.DUMMYFUNCTION("MAX(IF(REGEXMATCH(E177,""^\d{1,2},\d{2}$""),VALUE(E177),0),IF(REGEXMATCH(F177,""^\d{1,2},\d{2}$""),VALUE(F177),0),IF(REGEXMATCH(G177,""^\d{1,2},\d{2}$""),VALUE(G177),0))"),0)</f>
        <v>0</v>
      </c>
      <c r="I177" s="51"/>
      <c r="J177" s="52"/>
    </row>
    <row r="178" spans="1:10" ht="13.2" x14ac:dyDescent="0.25">
      <c r="A178" s="52"/>
      <c r="B178" s="62" t="s">
        <v>18</v>
      </c>
      <c r="C178" s="36"/>
      <c r="D178" s="44"/>
      <c r="E178" s="38"/>
      <c r="F178" s="38"/>
      <c r="G178" s="38"/>
      <c r="H178" s="63"/>
      <c r="I178" s="51"/>
      <c r="J178" s="52"/>
    </row>
    <row r="179" spans="1:10" ht="13.2" x14ac:dyDescent="0.25">
      <c r="A179" s="52"/>
      <c r="B179" s="52"/>
      <c r="C179" s="52"/>
      <c r="D179" s="53"/>
      <c r="E179" s="53"/>
      <c r="F179" s="53"/>
      <c r="G179" s="53"/>
      <c r="H179" s="64"/>
      <c r="I179" s="51"/>
      <c r="J179" s="52"/>
    </row>
    <row r="180" spans="1:10" ht="15.6" x14ac:dyDescent="0.25">
      <c r="A180" s="46">
        <v>23</v>
      </c>
      <c r="B180" s="97"/>
      <c r="C180" s="98"/>
      <c r="D180" s="98"/>
      <c r="E180" s="98"/>
      <c r="F180" s="98"/>
      <c r="G180" s="98"/>
      <c r="H180" s="59"/>
      <c r="I180" s="25">
        <f ca="1">IF(COUNTIFS(H181:H185,"&gt;0") &gt; 3, FLOOR((SUM(H181:H185)-MIN(H181,H182,H183,H184,H185))/4,0.0001), )</f>
        <v>0</v>
      </c>
      <c r="J180" s="26" t="str">
        <f ca="1">IF(I180=0,"",RANK(I180,$I$4:$I$224,))</f>
        <v/>
      </c>
    </row>
    <row r="181" spans="1:10" ht="13.2" x14ac:dyDescent="0.25">
      <c r="A181" s="52"/>
      <c r="B181" s="48">
        <v>1</v>
      </c>
      <c r="C181" s="49"/>
      <c r="D181" s="50"/>
      <c r="E181" s="60"/>
      <c r="F181" s="60"/>
      <c r="G181" s="60"/>
      <c r="H181" s="61">
        <f ca="1">IFERROR(__xludf.DUMMYFUNCTION("MAX(IF(REGEXMATCH(E181,""^\d{1,2},\d{2}$""),VALUE(E181),0),IF(REGEXMATCH(F181,""^\d{1,2},\d{2}$""),VALUE(F181),0),IF(REGEXMATCH(G181,""^\d{1,2},\d{2}$""),VALUE(G181),0))"),0)</f>
        <v>0</v>
      </c>
      <c r="I181" s="51"/>
      <c r="J181" s="52"/>
    </row>
    <row r="182" spans="1:10" ht="13.2" x14ac:dyDescent="0.25">
      <c r="A182" s="52"/>
      <c r="B182" s="48">
        <v>2</v>
      </c>
      <c r="C182" s="49"/>
      <c r="D182" s="50"/>
      <c r="E182" s="60"/>
      <c r="F182" s="60"/>
      <c r="G182" s="60"/>
      <c r="H182" s="61">
        <f ca="1">IFERROR(__xludf.DUMMYFUNCTION("MAX(IF(REGEXMATCH(E182,""^\d{1,2},\d{2}$""),VALUE(E182),0),IF(REGEXMATCH(F182,""^\d{1,2},\d{2}$""),VALUE(F182),0),IF(REGEXMATCH(G182,""^\d{1,2},\d{2}$""),VALUE(G182),0))"),0)</f>
        <v>0</v>
      </c>
      <c r="I182" s="51"/>
      <c r="J182" s="52"/>
    </row>
    <row r="183" spans="1:10" ht="13.2" x14ac:dyDescent="0.25">
      <c r="A183" s="52"/>
      <c r="B183" s="48">
        <v>3</v>
      </c>
      <c r="C183" s="49"/>
      <c r="D183" s="50"/>
      <c r="E183" s="60"/>
      <c r="F183" s="60"/>
      <c r="G183" s="60"/>
      <c r="H183" s="61">
        <f ca="1">IFERROR(__xludf.DUMMYFUNCTION("MAX(IF(REGEXMATCH(E183,""^\d{1,2},\d{2}$""),VALUE(E183),0),IF(REGEXMATCH(F183,""^\d{1,2},\d{2}$""),VALUE(F183),0),IF(REGEXMATCH(G183,""^\d{1,2},\d{2}$""),VALUE(G183),0))"),0)</f>
        <v>0</v>
      </c>
      <c r="I183" s="51"/>
      <c r="J183" s="52"/>
    </row>
    <row r="184" spans="1:10" ht="13.2" x14ac:dyDescent="0.25">
      <c r="A184" s="52"/>
      <c r="B184" s="48">
        <v>4</v>
      </c>
      <c r="C184" s="49"/>
      <c r="D184" s="50"/>
      <c r="E184" s="60"/>
      <c r="F184" s="60"/>
      <c r="G184" s="60"/>
      <c r="H184" s="61">
        <f ca="1">IFERROR(__xludf.DUMMYFUNCTION("MAX(IF(REGEXMATCH(E184,""^\d{1,2},\d{2}$""),VALUE(E184),0),IF(REGEXMATCH(F184,""^\d{1,2},\d{2}$""),VALUE(F184),0),IF(REGEXMATCH(G184,""^\d{1,2},\d{2}$""),VALUE(G184),0))"),0)</f>
        <v>0</v>
      </c>
      <c r="I184" s="51"/>
      <c r="J184" s="52"/>
    </row>
    <row r="185" spans="1:10" ht="13.2" x14ac:dyDescent="0.25">
      <c r="A185" s="52"/>
      <c r="B185" s="48">
        <v>5</v>
      </c>
      <c r="C185" s="49"/>
      <c r="D185" s="50"/>
      <c r="E185" s="60"/>
      <c r="F185" s="60"/>
      <c r="G185" s="60"/>
      <c r="H185" s="61">
        <f ca="1">IFERROR(__xludf.DUMMYFUNCTION("MAX(IF(REGEXMATCH(E185,""^\d{1,2},\d{2}$""),VALUE(E185),0),IF(REGEXMATCH(F185,""^\d{1,2},\d{2}$""),VALUE(F185),0),IF(REGEXMATCH(G185,""^\d{1,2},\d{2}$""),VALUE(G185),0))"),0)</f>
        <v>0</v>
      </c>
      <c r="I185" s="51"/>
      <c r="J185" s="52"/>
    </row>
    <row r="186" spans="1:10" ht="13.2" x14ac:dyDescent="0.25">
      <c r="A186" s="52"/>
      <c r="B186" s="62" t="s">
        <v>18</v>
      </c>
      <c r="C186" s="36"/>
      <c r="D186" s="44"/>
      <c r="E186" s="38"/>
      <c r="F186" s="38"/>
      <c r="G186" s="38"/>
      <c r="H186" s="63"/>
      <c r="I186" s="51"/>
      <c r="J186" s="52"/>
    </row>
    <row r="187" spans="1:10" ht="13.2" x14ac:dyDescent="0.25">
      <c r="A187" s="52"/>
      <c r="B187" s="52"/>
      <c r="C187" s="52"/>
      <c r="D187" s="53"/>
      <c r="E187" s="53"/>
      <c r="F187" s="53"/>
      <c r="G187" s="53"/>
      <c r="H187" s="64"/>
      <c r="I187" s="51"/>
      <c r="J187" s="52"/>
    </row>
    <row r="188" spans="1:10" ht="15.6" x14ac:dyDescent="0.25">
      <c r="A188" s="46">
        <v>24</v>
      </c>
      <c r="B188" s="97"/>
      <c r="C188" s="98"/>
      <c r="D188" s="98"/>
      <c r="E188" s="98"/>
      <c r="F188" s="98"/>
      <c r="G188" s="98"/>
      <c r="H188" s="59"/>
      <c r="I188" s="25">
        <f ca="1">IF(COUNTIFS(H189:H193,"&gt;0") &gt; 3, FLOOR((SUM(H189:H193)-MIN(H189,H190,H191,H192,H193))/4,0.0001), )</f>
        <v>0</v>
      </c>
      <c r="J188" s="26" t="str">
        <f ca="1">IF(I188=0,"",RANK(I188,$I$4:$I$224,))</f>
        <v/>
      </c>
    </row>
    <row r="189" spans="1:10" ht="13.2" x14ac:dyDescent="0.25">
      <c r="A189" s="52"/>
      <c r="B189" s="48">
        <v>1</v>
      </c>
      <c r="C189" s="49"/>
      <c r="D189" s="50"/>
      <c r="E189" s="60"/>
      <c r="F189" s="60"/>
      <c r="G189" s="60"/>
      <c r="H189" s="61">
        <f ca="1">IFERROR(__xludf.DUMMYFUNCTION("MAX(IF(REGEXMATCH(E189,""^\d{1,2},\d{2}$""),VALUE(E189),0),IF(REGEXMATCH(F189,""^\d{1,2},\d{2}$""),VALUE(F189),0),IF(REGEXMATCH(G189,""^\d{1,2},\d{2}$""),VALUE(G189),0))"),0)</f>
        <v>0</v>
      </c>
      <c r="I189" s="51"/>
      <c r="J189" s="52"/>
    </row>
    <row r="190" spans="1:10" ht="13.2" x14ac:dyDescent="0.25">
      <c r="A190" s="52"/>
      <c r="B190" s="48">
        <v>2</v>
      </c>
      <c r="C190" s="49"/>
      <c r="D190" s="50"/>
      <c r="E190" s="60"/>
      <c r="F190" s="60"/>
      <c r="G190" s="60"/>
      <c r="H190" s="61">
        <f ca="1">IFERROR(__xludf.DUMMYFUNCTION("MAX(IF(REGEXMATCH(E190,""^\d{1,2},\d{2}$""),VALUE(E190),0),IF(REGEXMATCH(F190,""^\d{1,2},\d{2}$""),VALUE(F190),0),IF(REGEXMATCH(G190,""^\d{1,2},\d{2}$""),VALUE(G190),0))"),0)</f>
        <v>0</v>
      </c>
      <c r="I190" s="51"/>
      <c r="J190" s="52"/>
    </row>
    <row r="191" spans="1:10" ht="13.2" x14ac:dyDescent="0.25">
      <c r="A191" s="52"/>
      <c r="B191" s="48">
        <v>3</v>
      </c>
      <c r="C191" s="49"/>
      <c r="D191" s="50"/>
      <c r="E191" s="60"/>
      <c r="F191" s="60"/>
      <c r="G191" s="60"/>
      <c r="H191" s="61">
        <f ca="1">IFERROR(__xludf.DUMMYFUNCTION("MAX(IF(REGEXMATCH(E191,""^\d{1,2},\d{2}$""),VALUE(E191),0),IF(REGEXMATCH(F191,""^\d{1,2},\d{2}$""),VALUE(F191),0),IF(REGEXMATCH(G191,""^\d{1,2},\d{2}$""),VALUE(G191),0))"),0)</f>
        <v>0</v>
      </c>
      <c r="I191" s="51"/>
      <c r="J191" s="52"/>
    </row>
    <row r="192" spans="1:10" ht="13.2" x14ac:dyDescent="0.25">
      <c r="A192" s="52"/>
      <c r="B192" s="48">
        <v>4</v>
      </c>
      <c r="C192" s="49"/>
      <c r="D192" s="50"/>
      <c r="E192" s="60"/>
      <c r="F192" s="60"/>
      <c r="G192" s="60"/>
      <c r="H192" s="61">
        <f ca="1">IFERROR(__xludf.DUMMYFUNCTION("MAX(IF(REGEXMATCH(E192,""^\d{1,2},\d{2}$""),VALUE(E192),0),IF(REGEXMATCH(F192,""^\d{1,2},\d{2}$""),VALUE(F192),0),IF(REGEXMATCH(G192,""^\d{1,2},\d{2}$""),VALUE(G192),0))"),0)</f>
        <v>0</v>
      </c>
      <c r="I192" s="51"/>
      <c r="J192" s="52"/>
    </row>
    <row r="193" spans="1:10" ht="13.2" x14ac:dyDescent="0.25">
      <c r="A193" s="52"/>
      <c r="B193" s="48">
        <v>5</v>
      </c>
      <c r="C193" s="49"/>
      <c r="D193" s="50"/>
      <c r="E193" s="60"/>
      <c r="F193" s="60"/>
      <c r="G193" s="60"/>
      <c r="H193" s="61">
        <f ca="1">IFERROR(__xludf.DUMMYFUNCTION("MAX(IF(REGEXMATCH(E193,""^\d{1,2},\d{2}$""),VALUE(E193),0),IF(REGEXMATCH(F193,""^\d{1,2},\d{2}$""),VALUE(F193),0),IF(REGEXMATCH(G193,""^\d{1,2},\d{2}$""),VALUE(G193),0))"),0)</f>
        <v>0</v>
      </c>
      <c r="I193" s="51"/>
      <c r="J193" s="52"/>
    </row>
    <row r="194" spans="1:10" ht="13.2" x14ac:dyDescent="0.25">
      <c r="A194" s="52"/>
      <c r="B194" s="62" t="s">
        <v>18</v>
      </c>
      <c r="C194" s="36"/>
      <c r="D194" s="44"/>
      <c r="E194" s="38"/>
      <c r="F194" s="38"/>
      <c r="G194" s="38"/>
      <c r="H194" s="63"/>
      <c r="I194" s="51"/>
      <c r="J194" s="52"/>
    </row>
    <row r="195" spans="1:10" ht="13.2" x14ac:dyDescent="0.25">
      <c r="A195" s="52"/>
      <c r="B195" s="52"/>
      <c r="C195" s="52"/>
      <c r="D195" s="53"/>
      <c r="E195" s="53"/>
      <c r="F195" s="53"/>
      <c r="G195" s="53"/>
      <c r="H195" s="64"/>
      <c r="I195" s="51"/>
      <c r="J195" s="52"/>
    </row>
    <row r="196" spans="1:10" ht="15.6" x14ac:dyDescent="0.25">
      <c r="A196" s="46">
        <v>25</v>
      </c>
      <c r="B196" s="97"/>
      <c r="C196" s="98"/>
      <c r="D196" s="98"/>
      <c r="E196" s="98"/>
      <c r="F196" s="98"/>
      <c r="G196" s="98"/>
      <c r="H196" s="59"/>
      <c r="I196" s="25">
        <f ca="1">IF(COUNTIFS(H197:H201,"&gt;0") &gt; 3, FLOOR((SUM(H197:H201)-MIN(H197,H198,H199,H200,H201))/4,0.0001), )</f>
        <v>0</v>
      </c>
      <c r="J196" s="26" t="str">
        <f ca="1">IF(I196=0,"",RANK(I196,$I$4:$I$224,))</f>
        <v/>
      </c>
    </row>
    <row r="197" spans="1:10" ht="13.2" x14ac:dyDescent="0.25">
      <c r="A197" s="52"/>
      <c r="B197" s="48">
        <v>1</v>
      </c>
      <c r="C197" s="49"/>
      <c r="D197" s="50"/>
      <c r="E197" s="60"/>
      <c r="F197" s="60"/>
      <c r="G197" s="60"/>
      <c r="H197" s="61">
        <f ca="1">IFERROR(__xludf.DUMMYFUNCTION("MAX(IF(REGEXMATCH(E197,""^\d{1,2},\d{2}$""),VALUE(E197),0),IF(REGEXMATCH(F197,""^\d{1,2},\d{2}$""),VALUE(F197),0),IF(REGEXMATCH(G197,""^\d{1,2},\d{2}$""),VALUE(G197),0))"),0)</f>
        <v>0</v>
      </c>
      <c r="I197" s="51"/>
      <c r="J197" s="52"/>
    </row>
    <row r="198" spans="1:10" ht="13.2" x14ac:dyDescent="0.25">
      <c r="A198" s="52"/>
      <c r="B198" s="48">
        <v>2</v>
      </c>
      <c r="C198" s="49"/>
      <c r="D198" s="50"/>
      <c r="E198" s="60"/>
      <c r="F198" s="60"/>
      <c r="G198" s="60"/>
      <c r="H198" s="61">
        <f ca="1">IFERROR(__xludf.DUMMYFUNCTION("MAX(IF(REGEXMATCH(E198,""^\d{1,2},\d{2}$""),VALUE(E198),0),IF(REGEXMATCH(F198,""^\d{1,2},\d{2}$""),VALUE(F198),0),IF(REGEXMATCH(G198,""^\d{1,2},\d{2}$""),VALUE(G198),0))"),0)</f>
        <v>0</v>
      </c>
      <c r="I198" s="51"/>
      <c r="J198" s="52"/>
    </row>
    <row r="199" spans="1:10" ht="13.2" x14ac:dyDescent="0.25">
      <c r="A199" s="52"/>
      <c r="B199" s="48">
        <v>3</v>
      </c>
      <c r="C199" s="49"/>
      <c r="D199" s="50"/>
      <c r="E199" s="60"/>
      <c r="F199" s="60"/>
      <c r="G199" s="60"/>
      <c r="H199" s="61">
        <f ca="1">IFERROR(__xludf.DUMMYFUNCTION("MAX(IF(REGEXMATCH(E199,""^\d{1,2},\d{2}$""),VALUE(E199),0),IF(REGEXMATCH(F199,""^\d{1,2},\d{2}$""),VALUE(F199),0),IF(REGEXMATCH(G199,""^\d{1,2},\d{2}$""),VALUE(G199),0))"),0)</f>
        <v>0</v>
      </c>
      <c r="I199" s="51"/>
      <c r="J199" s="52"/>
    </row>
    <row r="200" spans="1:10" ht="13.2" x14ac:dyDescent="0.25">
      <c r="A200" s="52"/>
      <c r="B200" s="48">
        <v>4</v>
      </c>
      <c r="C200" s="49"/>
      <c r="D200" s="50"/>
      <c r="E200" s="60"/>
      <c r="F200" s="60"/>
      <c r="G200" s="60"/>
      <c r="H200" s="61">
        <f ca="1">IFERROR(__xludf.DUMMYFUNCTION("MAX(IF(REGEXMATCH(E200,""^\d{1,2},\d{2}$""),VALUE(E200),0),IF(REGEXMATCH(F200,""^\d{1,2},\d{2}$""),VALUE(F200),0),IF(REGEXMATCH(G200,""^\d{1,2},\d{2}$""),VALUE(G200),0))"),0)</f>
        <v>0</v>
      </c>
      <c r="I200" s="51"/>
      <c r="J200" s="52"/>
    </row>
    <row r="201" spans="1:10" ht="13.2" x14ac:dyDescent="0.25">
      <c r="A201" s="52"/>
      <c r="B201" s="48">
        <v>5</v>
      </c>
      <c r="C201" s="49"/>
      <c r="D201" s="50"/>
      <c r="E201" s="60"/>
      <c r="F201" s="60"/>
      <c r="G201" s="60"/>
      <c r="H201" s="61">
        <f ca="1">IFERROR(__xludf.DUMMYFUNCTION("MAX(IF(REGEXMATCH(E201,""^\d{1,2},\d{2}$""),VALUE(E201),0),IF(REGEXMATCH(F201,""^\d{1,2},\d{2}$""),VALUE(F201),0),IF(REGEXMATCH(G201,""^\d{1,2},\d{2}$""),VALUE(G201),0))"),0)</f>
        <v>0</v>
      </c>
      <c r="I201" s="51"/>
      <c r="J201" s="52"/>
    </row>
    <row r="202" spans="1:10" ht="13.2" x14ac:dyDescent="0.25">
      <c r="A202" s="52"/>
      <c r="B202" s="62" t="s">
        <v>18</v>
      </c>
      <c r="C202" s="36"/>
      <c r="D202" s="44"/>
      <c r="E202" s="38"/>
      <c r="F202" s="38"/>
      <c r="G202" s="38"/>
      <c r="H202" s="63"/>
      <c r="I202" s="51"/>
      <c r="J202" s="52"/>
    </row>
    <row r="203" spans="1:10" ht="13.2" x14ac:dyDescent="0.25">
      <c r="A203" s="17"/>
      <c r="B203" s="17"/>
      <c r="D203" s="18"/>
      <c r="E203" s="18"/>
      <c r="F203" s="18"/>
      <c r="G203" s="18"/>
      <c r="H203" s="58"/>
      <c r="I203" s="21"/>
      <c r="J203" s="22"/>
    </row>
    <row r="204" spans="1:10" ht="13.2" x14ac:dyDescent="0.25">
      <c r="A204" s="17"/>
      <c r="B204" s="17"/>
      <c r="D204" s="18"/>
      <c r="E204" s="18"/>
      <c r="F204" s="18"/>
      <c r="G204" s="18"/>
      <c r="H204" s="58"/>
      <c r="I204" s="21"/>
      <c r="J204" s="22"/>
    </row>
    <row r="205" spans="1:10" ht="13.2" x14ac:dyDescent="0.25">
      <c r="A205" s="17"/>
      <c r="B205" s="17"/>
      <c r="D205" s="18"/>
      <c r="E205" s="18"/>
      <c r="F205" s="18"/>
      <c r="G205" s="18"/>
      <c r="H205" s="58"/>
      <c r="I205" s="21"/>
      <c r="J205" s="22"/>
    </row>
    <row r="206" spans="1:10" ht="13.2" x14ac:dyDescent="0.25">
      <c r="A206" s="17"/>
      <c r="B206" s="17"/>
      <c r="D206" s="18"/>
      <c r="E206" s="18"/>
      <c r="F206" s="18"/>
      <c r="G206" s="18"/>
      <c r="H206" s="58"/>
      <c r="I206" s="21"/>
      <c r="J206" s="22"/>
    </row>
    <row r="207" spans="1:10" ht="13.2" x14ac:dyDescent="0.25">
      <c r="A207" s="17"/>
      <c r="B207" s="17"/>
      <c r="D207" s="18"/>
      <c r="E207" s="18"/>
      <c r="F207" s="18"/>
      <c r="G207" s="18"/>
      <c r="H207" s="58"/>
      <c r="I207" s="21"/>
      <c r="J207" s="22"/>
    </row>
    <row r="208" spans="1:10" ht="13.2" x14ac:dyDescent="0.25">
      <c r="A208" s="17"/>
      <c r="B208" s="17"/>
      <c r="D208" s="18"/>
      <c r="E208" s="18"/>
      <c r="F208" s="18"/>
      <c r="G208" s="18"/>
      <c r="H208" s="58"/>
      <c r="I208" s="21"/>
      <c r="J208" s="22"/>
    </row>
    <row r="209" spans="1:10" ht="13.2" x14ac:dyDescent="0.25">
      <c r="A209" s="17"/>
      <c r="B209" s="17"/>
      <c r="D209" s="18"/>
      <c r="E209" s="18"/>
      <c r="F209" s="18"/>
      <c r="G209" s="18"/>
      <c r="H209" s="58"/>
      <c r="I209" s="21"/>
      <c r="J209" s="22"/>
    </row>
    <row r="210" spans="1:10" ht="13.2" x14ac:dyDescent="0.25">
      <c r="A210" s="17"/>
      <c r="B210" s="17"/>
      <c r="D210" s="18"/>
      <c r="E210" s="18"/>
      <c r="F210" s="18"/>
      <c r="G210" s="18"/>
      <c r="H210" s="58"/>
      <c r="I210" s="21"/>
      <c r="J210" s="22"/>
    </row>
    <row r="211" spans="1:10" ht="13.2" x14ac:dyDescent="0.25">
      <c r="A211" s="17"/>
      <c r="B211" s="17"/>
      <c r="D211" s="18"/>
      <c r="E211" s="18"/>
      <c r="F211" s="18"/>
      <c r="G211" s="18"/>
      <c r="H211" s="58"/>
      <c r="I211" s="21"/>
      <c r="J211" s="22"/>
    </row>
    <row r="212" spans="1:10" ht="13.2" x14ac:dyDescent="0.25">
      <c r="A212" s="17"/>
      <c r="B212" s="17"/>
      <c r="D212" s="18"/>
      <c r="E212" s="18"/>
      <c r="F212" s="18"/>
      <c r="G212" s="18"/>
      <c r="H212" s="58"/>
      <c r="I212" s="21"/>
      <c r="J212" s="22"/>
    </row>
    <row r="213" spans="1:10" ht="13.2" x14ac:dyDescent="0.25">
      <c r="A213" s="17"/>
      <c r="B213" s="17"/>
      <c r="D213" s="18"/>
      <c r="E213" s="18"/>
      <c r="F213" s="18"/>
      <c r="G213" s="18"/>
      <c r="H213" s="58"/>
      <c r="I213" s="21"/>
      <c r="J213" s="22"/>
    </row>
    <row r="214" spans="1:10" ht="13.2" x14ac:dyDescent="0.25">
      <c r="A214" s="17"/>
      <c r="B214" s="17"/>
      <c r="D214" s="18"/>
      <c r="E214" s="18"/>
      <c r="F214" s="18"/>
      <c r="G214" s="18"/>
      <c r="H214" s="58"/>
      <c r="I214" s="21"/>
      <c r="J214" s="22"/>
    </row>
    <row r="215" spans="1:10" ht="13.2" x14ac:dyDescent="0.25">
      <c r="A215" s="17"/>
      <c r="B215" s="17"/>
      <c r="D215" s="18"/>
      <c r="E215" s="18"/>
      <c r="F215" s="18"/>
      <c r="G215" s="18"/>
      <c r="H215" s="58"/>
      <c r="I215" s="21"/>
      <c r="J215" s="22"/>
    </row>
    <row r="216" spans="1:10" ht="13.2" x14ac:dyDescent="0.25">
      <c r="A216" s="17"/>
      <c r="B216" s="17"/>
      <c r="D216" s="18"/>
      <c r="E216" s="18"/>
      <c r="F216" s="18"/>
      <c r="G216" s="18"/>
      <c r="H216" s="58"/>
      <c r="I216" s="21"/>
      <c r="J216" s="22"/>
    </row>
    <row r="217" spans="1:10" ht="13.2" x14ac:dyDescent="0.25">
      <c r="A217" s="17"/>
      <c r="B217" s="17"/>
      <c r="D217" s="18"/>
      <c r="E217" s="18"/>
      <c r="F217" s="18"/>
      <c r="G217" s="18"/>
      <c r="H217" s="58"/>
      <c r="I217" s="21"/>
      <c r="J217" s="22"/>
    </row>
    <row r="218" spans="1:10" ht="13.2" x14ac:dyDescent="0.25">
      <c r="A218" s="17"/>
      <c r="B218" s="17"/>
      <c r="D218" s="18"/>
      <c r="E218" s="18"/>
      <c r="F218" s="18"/>
      <c r="G218" s="18"/>
      <c r="H218" s="58"/>
      <c r="I218" s="21"/>
      <c r="J218" s="22"/>
    </row>
    <row r="219" spans="1:10" ht="13.2" x14ac:dyDescent="0.25">
      <c r="A219" s="17"/>
      <c r="B219" s="17"/>
      <c r="D219" s="18"/>
      <c r="E219" s="18"/>
      <c r="F219" s="18"/>
      <c r="G219" s="18"/>
      <c r="H219" s="58"/>
      <c r="I219" s="21"/>
      <c r="J219" s="22"/>
    </row>
    <row r="220" spans="1:10" ht="13.2" x14ac:dyDescent="0.25">
      <c r="A220" s="17"/>
      <c r="B220" s="17"/>
      <c r="D220" s="18"/>
      <c r="E220" s="18"/>
      <c r="F220" s="18"/>
      <c r="G220" s="18"/>
      <c r="H220" s="58"/>
      <c r="I220" s="21"/>
      <c r="J220" s="22"/>
    </row>
    <row r="221" spans="1:10" ht="13.2" x14ac:dyDescent="0.25">
      <c r="A221" s="17"/>
      <c r="B221" s="17"/>
      <c r="D221" s="18"/>
      <c r="E221" s="18"/>
      <c r="F221" s="18"/>
      <c r="G221" s="18"/>
      <c r="H221" s="58"/>
      <c r="I221" s="21"/>
      <c r="J221" s="22"/>
    </row>
    <row r="222" spans="1:10" ht="13.2" x14ac:dyDescent="0.25">
      <c r="A222" s="17"/>
      <c r="B222" s="17"/>
      <c r="D222" s="18"/>
      <c r="E222" s="18"/>
      <c r="F222" s="18"/>
      <c r="G222" s="18"/>
      <c r="H222" s="58"/>
      <c r="I222" s="21"/>
      <c r="J222" s="22"/>
    </row>
    <row r="223" spans="1:10" ht="13.2" x14ac:dyDescent="0.25">
      <c r="A223" s="17"/>
      <c r="B223" s="17"/>
      <c r="D223" s="18"/>
      <c r="E223" s="18"/>
      <c r="F223" s="18"/>
      <c r="G223" s="18"/>
      <c r="H223" s="58"/>
      <c r="I223" s="21"/>
      <c r="J223" s="22"/>
    </row>
    <row r="224" spans="1:10" ht="13.2" x14ac:dyDescent="0.25">
      <c r="A224" s="17"/>
      <c r="B224" s="17"/>
      <c r="D224" s="18"/>
      <c r="E224" s="18"/>
      <c r="F224" s="18"/>
      <c r="G224" s="18"/>
      <c r="H224" s="58"/>
      <c r="I224" s="21"/>
      <c r="J224" s="22"/>
    </row>
    <row r="225" spans="1:10" ht="13.2" x14ac:dyDescent="0.25">
      <c r="A225" s="17"/>
      <c r="B225" s="17"/>
      <c r="D225" s="18"/>
      <c r="E225" s="18"/>
      <c r="F225" s="18"/>
      <c r="G225" s="18"/>
      <c r="H225" s="58"/>
      <c r="I225" s="21"/>
      <c r="J225" s="22"/>
    </row>
    <row r="226" spans="1:10" ht="13.2" x14ac:dyDescent="0.25">
      <c r="A226" s="17"/>
      <c r="B226" s="17"/>
      <c r="D226" s="18"/>
      <c r="E226" s="18"/>
      <c r="F226" s="18"/>
      <c r="G226" s="18"/>
      <c r="H226" s="58"/>
      <c r="I226" s="21"/>
      <c r="J226" s="22"/>
    </row>
    <row r="227" spans="1:10" ht="13.2" x14ac:dyDescent="0.25">
      <c r="A227" s="17"/>
      <c r="B227" s="17"/>
      <c r="D227" s="18"/>
      <c r="E227" s="18"/>
      <c r="F227" s="18"/>
      <c r="G227" s="18"/>
      <c r="H227" s="58"/>
      <c r="I227" s="21"/>
      <c r="J227" s="22"/>
    </row>
    <row r="228" spans="1:10" ht="13.2" x14ac:dyDescent="0.25">
      <c r="A228" s="17"/>
      <c r="B228" s="17"/>
      <c r="D228" s="18"/>
      <c r="E228" s="18"/>
      <c r="F228" s="18"/>
      <c r="G228" s="18"/>
      <c r="H228" s="58"/>
      <c r="I228" s="21"/>
      <c r="J228" s="22"/>
    </row>
    <row r="229" spans="1:10" ht="13.2" x14ac:dyDescent="0.25">
      <c r="A229" s="17"/>
      <c r="B229" s="17"/>
      <c r="D229" s="18"/>
      <c r="E229" s="18"/>
      <c r="F229" s="18"/>
      <c r="G229" s="18"/>
      <c r="H229" s="58"/>
      <c r="I229" s="21"/>
      <c r="J229" s="22"/>
    </row>
    <row r="230" spans="1:10" ht="13.2" x14ac:dyDescent="0.25">
      <c r="A230" s="17"/>
      <c r="B230" s="17"/>
      <c r="D230" s="18"/>
      <c r="E230" s="18"/>
      <c r="F230" s="18"/>
      <c r="G230" s="18"/>
      <c r="H230" s="58"/>
      <c r="I230" s="21"/>
      <c r="J230" s="22"/>
    </row>
    <row r="231" spans="1:10" ht="13.2" x14ac:dyDescent="0.25">
      <c r="A231" s="17"/>
      <c r="B231" s="17"/>
      <c r="D231" s="18"/>
      <c r="E231" s="18"/>
      <c r="F231" s="18"/>
      <c r="G231" s="18"/>
      <c r="H231" s="58"/>
      <c r="I231" s="21"/>
      <c r="J231" s="22"/>
    </row>
    <row r="232" spans="1:10" ht="13.2" x14ac:dyDescent="0.25">
      <c r="A232" s="17"/>
      <c r="B232" s="17"/>
      <c r="D232" s="18"/>
      <c r="E232" s="18"/>
      <c r="F232" s="18"/>
      <c r="G232" s="18"/>
      <c r="H232" s="58"/>
      <c r="I232" s="21"/>
      <c r="J232" s="22"/>
    </row>
    <row r="233" spans="1:10" ht="13.2" x14ac:dyDescent="0.25">
      <c r="A233" s="17"/>
      <c r="B233" s="17"/>
      <c r="D233" s="18"/>
      <c r="E233" s="18"/>
      <c r="F233" s="18"/>
      <c r="G233" s="18"/>
      <c r="H233" s="58"/>
      <c r="I233" s="21"/>
      <c r="J233" s="22"/>
    </row>
    <row r="234" spans="1:10" ht="13.2" x14ac:dyDescent="0.25">
      <c r="A234" s="17"/>
      <c r="B234" s="17"/>
      <c r="D234" s="18"/>
      <c r="E234" s="18"/>
      <c r="F234" s="18"/>
      <c r="G234" s="18"/>
      <c r="H234" s="58"/>
      <c r="I234" s="21"/>
      <c r="J234" s="22"/>
    </row>
    <row r="235" spans="1:10" ht="13.2" x14ac:dyDescent="0.25">
      <c r="A235" s="17"/>
      <c r="B235" s="17"/>
      <c r="D235" s="18"/>
      <c r="E235" s="18"/>
      <c r="F235" s="18"/>
      <c r="G235" s="18"/>
      <c r="H235" s="58"/>
      <c r="I235" s="21"/>
      <c r="J235" s="22"/>
    </row>
    <row r="236" spans="1:10" ht="13.2" x14ac:dyDescent="0.25">
      <c r="A236" s="17"/>
      <c r="B236" s="17"/>
      <c r="D236" s="18"/>
      <c r="E236" s="18"/>
      <c r="F236" s="18"/>
      <c r="G236" s="18"/>
      <c r="H236" s="58"/>
      <c r="I236" s="21"/>
      <c r="J236" s="22"/>
    </row>
    <row r="237" spans="1:10" ht="13.2" x14ac:dyDescent="0.25">
      <c r="A237" s="17"/>
      <c r="B237" s="17"/>
      <c r="D237" s="18"/>
      <c r="E237" s="18"/>
      <c r="F237" s="18"/>
      <c r="G237" s="18"/>
      <c r="H237" s="58"/>
      <c r="I237" s="21"/>
      <c r="J237" s="22"/>
    </row>
    <row r="238" spans="1:10" ht="13.2" x14ac:dyDescent="0.25">
      <c r="A238" s="17"/>
      <c r="B238" s="17"/>
      <c r="D238" s="18"/>
      <c r="E238" s="18"/>
      <c r="F238" s="18"/>
      <c r="G238" s="18"/>
      <c r="H238" s="58"/>
      <c r="I238" s="21"/>
      <c r="J238" s="22"/>
    </row>
    <row r="239" spans="1:10" ht="13.2" x14ac:dyDescent="0.25">
      <c r="A239" s="17"/>
      <c r="B239" s="17"/>
      <c r="D239" s="18"/>
      <c r="E239" s="18"/>
      <c r="F239" s="18"/>
      <c r="G239" s="18"/>
      <c r="H239" s="58"/>
      <c r="I239" s="21"/>
      <c r="J239" s="22"/>
    </row>
    <row r="240" spans="1:10" ht="13.2" x14ac:dyDescent="0.25">
      <c r="A240" s="17"/>
      <c r="B240" s="17"/>
      <c r="D240" s="18"/>
      <c r="E240" s="18"/>
      <c r="F240" s="18"/>
      <c r="G240" s="18"/>
      <c r="H240" s="58"/>
      <c r="I240" s="21"/>
      <c r="J240" s="22"/>
    </row>
    <row r="241" spans="1:10" ht="13.2" x14ac:dyDescent="0.25">
      <c r="A241" s="17"/>
      <c r="B241" s="17"/>
      <c r="D241" s="18"/>
      <c r="E241" s="18"/>
      <c r="F241" s="18"/>
      <c r="G241" s="18"/>
      <c r="H241" s="58"/>
      <c r="I241" s="21"/>
      <c r="J241" s="22"/>
    </row>
    <row r="242" spans="1:10" ht="13.2" x14ac:dyDescent="0.25">
      <c r="A242" s="17"/>
      <c r="B242" s="17"/>
      <c r="D242" s="18"/>
      <c r="E242" s="18"/>
      <c r="F242" s="18"/>
      <c r="G242" s="18"/>
      <c r="H242" s="58"/>
      <c r="I242" s="21"/>
      <c r="J242" s="22"/>
    </row>
    <row r="243" spans="1:10" ht="13.2" x14ac:dyDescent="0.25">
      <c r="A243" s="17"/>
      <c r="B243" s="17"/>
      <c r="D243" s="18"/>
      <c r="E243" s="18"/>
      <c r="F243" s="18"/>
      <c r="G243" s="18"/>
      <c r="H243" s="58"/>
      <c r="I243" s="21"/>
      <c r="J243" s="22"/>
    </row>
    <row r="244" spans="1:10" ht="13.2" x14ac:dyDescent="0.25">
      <c r="A244" s="17"/>
      <c r="B244" s="17"/>
      <c r="D244" s="18"/>
      <c r="E244" s="18"/>
      <c r="F244" s="18"/>
      <c r="G244" s="18"/>
      <c r="H244" s="58"/>
      <c r="I244" s="21"/>
      <c r="J244" s="22"/>
    </row>
    <row r="245" spans="1:10" ht="13.2" x14ac:dyDescent="0.25">
      <c r="A245" s="17"/>
      <c r="B245" s="17"/>
      <c r="D245" s="18"/>
      <c r="E245" s="18"/>
      <c r="F245" s="18"/>
      <c r="G245" s="18"/>
      <c r="H245" s="58"/>
      <c r="I245" s="21"/>
      <c r="J245" s="22"/>
    </row>
    <row r="246" spans="1:10" ht="13.2" x14ac:dyDescent="0.25">
      <c r="A246" s="17"/>
      <c r="B246" s="17"/>
      <c r="D246" s="18"/>
      <c r="E246" s="18"/>
      <c r="F246" s="18"/>
      <c r="G246" s="18"/>
      <c r="H246" s="58"/>
      <c r="I246" s="21"/>
      <c r="J246" s="22"/>
    </row>
    <row r="247" spans="1:10" ht="13.2" x14ac:dyDescent="0.25">
      <c r="A247" s="17"/>
      <c r="B247" s="17"/>
      <c r="D247" s="18"/>
      <c r="E247" s="18"/>
      <c r="F247" s="18"/>
      <c r="G247" s="18"/>
      <c r="H247" s="58"/>
      <c r="I247" s="21"/>
      <c r="J247" s="22"/>
    </row>
    <row r="248" spans="1:10" ht="13.2" x14ac:dyDescent="0.25">
      <c r="A248" s="17"/>
      <c r="B248" s="17"/>
      <c r="D248" s="18"/>
      <c r="E248" s="18"/>
      <c r="F248" s="18"/>
      <c r="G248" s="18"/>
      <c r="H248" s="58"/>
      <c r="I248" s="21"/>
      <c r="J248" s="22"/>
    </row>
    <row r="249" spans="1:10" ht="13.2" x14ac:dyDescent="0.25">
      <c r="A249" s="17"/>
      <c r="B249" s="17"/>
      <c r="D249" s="18"/>
      <c r="E249" s="18"/>
      <c r="F249" s="18"/>
      <c r="G249" s="18"/>
      <c r="H249" s="58"/>
      <c r="I249" s="21"/>
      <c r="J249" s="22"/>
    </row>
    <row r="250" spans="1:10" ht="13.2" x14ac:dyDescent="0.25">
      <c r="A250" s="17"/>
      <c r="B250" s="17"/>
      <c r="D250" s="18"/>
      <c r="E250" s="18"/>
      <c r="F250" s="18"/>
      <c r="G250" s="18"/>
      <c r="H250" s="58"/>
      <c r="I250" s="21"/>
      <c r="J250" s="22"/>
    </row>
    <row r="251" spans="1:10" ht="13.2" x14ac:dyDescent="0.25">
      <c r="A251" s="17"/>
      <c r="B251" s="17"/>
      <c r="D251" s="18"/>
      <c r="E251" s="18"/>
      <c r="F251" s="18"/>
      <c r="G251" s="18"/>
      <c r="H251" s="58"/>
      <c r="I251" s="21"/>
      <c r="J251" s="22"/>
    </row>
    <row r="252" spans="1:10" ht="13.2" x14ac:dyDescent="0.25">
      <c r="A252" s="17"/>
      <c r="B252" s="17"/>
      <c r="D252" s="18"/>
      <c r="E252" s="18"/>
      <c r="F252" s="18"/>
      <c r="G252" s="18"/>
      <c r="H252" s="58"/>
      <c r="I252" s="21"/>
      <c r="J252" s="22"/>
    </row>
    <row r="253" spans="1:10" ht="13.2" x14ac:dyDescent="0.25">
      <c r="A253" s="17"/>
      <c r="B253" s="17"/>
      <c r="D253" s="18"/>
      <c r="E253" s="18"/>
      <c r="F253" s="18"/>
      <c r="G253" s="18"/>
      <c r="H253" s="58"/>
      <c r="I253" s="21"/>
      <c r="J253" s="22"/>
    </row>
    <row r="254" spans="1:10" ht="13.2" x14ac:dyDescent="0.25">
      <c r="A254" s="17"/>
      <c r="B254" s="17"/>
      <c r="D254" s="18"/>
      <c r="E254" s="18"/>
      <c r="F254" s="18"/>
      <c r="G254" s="18"/>
      <c r="H254" s="58"/>
      <c r="I254" s="21"/>
      <c r="J254" s="22"/>
    </row>
    <row r="255" spans="1:10" ht="13.2" x14ac:dyDescent="0.25">
      <c r="A255" s="17"/>
      <c r="B255" s="17"/>
      <c r="D255" s="18"/>
      <c r="E255" s="18"/>
      <c r="F255" s="18"/>
      <c r="G255" s="18"/>
      <c r="H255" s="58"/>
      <c r="I255" s="21"/>
      <c r="J255" s="22"/>
    </row>
    <row r="256" spans="1:10" ht="13.2" x14ac:dyDescent="0.25">
      <c r="A256" s="17"/>
      <c r="B256" s="17"/>
      <c r="D256" s="18"/>
      <c r="E256" s="18"/>
      <c r="F256" s="18"/>
      <c r="G256" s="18"/>
      <c r="H256" s="58"/>
      <c r="I256" s="21"/>
      <c r="J256" s="22"/>
    </row>
    <row r="257" spans="1:10" ht="13.2" x14ac:dyDescent="0.25">
      <c r="A257" s="17"/>
      <c r="B257" s="17"/>
      <c r="D257" s="18"/>
      <c r="E257" s="18"/>
      <c r="F257" s="18"/>
      <c r="G257" s="18"/>
      <c r="H257" s="58"/>
      <c r="I257" s="21"/>
      <c r="J257" s="22"/>
    </row>
    <row r="258" spans="1:10" ht="13.2" x14ac:dyDescent="0.25">
      <c r="A258" s="17"/>
      <c r="B258" s="17"/>
      <c r="D258" s="18"/>
      <c r="E258" s="18"/>
      <c r="F258" s="18"/>
      <c r="G258" s="18"/>
      <c r="H258" s="58"/>
      <c r="I258" s="21"/>
      <c r="J258" s="22"/>
    </row>
    <row r="259" spans="1:10" ht="13.2" x14ac:dyDescent="0.25">
      <c r="A259" s="17"/>
      <c r="B259" s="17"/>
      <c r="D259" s="18"/>
      <c r="E259" s="18"/>
      <c r="F259" s="18"/>
      <c r="G259" s="18"/>
      <c r="H259" s="58"/>
      <c r="I259" s="21"/>
      <c r="J259" s="22"/>
    </row>
    <row r="260" spans="1:10" ht="13.2" x14ac:dyDescent="0.25">
      <c r="A260" s="17"/>
      <c r="B260" s="17"/>
      <c r="D260" s="18"/>
      <c r="E260" s="18"/>
      <c r="F260" s="18"/>
      <c r="G260" s="18"/>
      <c r="H260" s="58"/>
      <c r="I260" s="21"/>
      <c r="J260" s="22"/>
    </row>
    <row r="261" spans="1:10" ht="13.2" x14ac:dyDescent="0.25">
      <c r="A261" s="17"/>
      <c r="B261" s="17"/>
      <c r="D261" s="18"/>
      <c r="E261" s="18"/>
      <c r="F261" s="18"/>
      <c r="G261" s="18"/>
      <c r="H261" s="58"/>
      <c r="I261" s="21"/>
      <c r="J261" s="22"/>
    </row>
    <row r="262" spans="1:10" ht="13.2" x14ac:dyDescent="0.25">
      <c r="A262" s="17"/>
      <c r="B262" s="17"/>
      <c r="D262" s="18"/>
      <c r="E262" s="18"/>
      <c r="F262" s="18"/>
      <c r="G262" s="18"/>
      <c r="H262" s="58"/>
      <c r="I262" s="21"/>
      <c r="J262" s="22"/>
    </row>
    <row r="263" spans="1:10" ht="13.2" x14ac:dyDescent="0.25">
      <c r="A263" s="17"/>
      <c r="B263" s="17"/>
      <c r="D263" s="18"/>
      <c r="E263" s="18"/>
      <c r="F263" s="18"/>
      <c r="G263" s="18"/>
      <c r="H263" s="58"/>
      <c r="I263" s="21"/>
      <c r="J263" s="22"/>
    </row>
    <row r="264" spans="1:10" ht="13.2" x14ac:dyDescent="0.25">
      <c r="A264" s="17"/>
      <c r="B264" s="17"/>
      <c r="D264" s="18"/>
      <c r="E264" s="18"/>
      <c r="F264" s="18"/>
      <c r="G264" s="18"/>
      <c r="H264" s="58"/>
      <c r="I264" s="21"/>
      <c r="J264" s="22"/>
    </row>
    <row r="265" spans="1:10" ht="13.2" x14ac:dyDescent="0.25">
      <c r="A265" s="17"/>
      <c r="B265" s="17"/>
      <c r="D265" s="18"/>
      <c r="E265" s="18"/>
      <c r="F265" s="18"/>
      <c r="G265" s="18"/>
      <c r="H265" s="58"/>
      <c r="I265" s="21"/>
      <c r="J265" s="22"/>
    </row>
    <row r="266" spans="1:10" ht="13.2" x14ac:dyDescent="0.25">
      <c r="A266" s="17"/>
      <c r="B266" s="17"/>
      <c r="D266" s="18"/>
      <c r="E266" s="18"/>
      <c r="F266" s="18"/>
      <c r="G266" s="18"/>
      <c r="H266" s="58"/>
      <c r="I266" s="21"/>
      <c r="J266" s="22"/>
    </row>
    <row r="267" spans="1:10" ht="13.2" x14ac:dyDescent="0.25">
      <c r="A267" s="17"/>
      <c r="B267" s="17"/>
      <c r="D267" s="18"/>
      <c r="E267" s="18"/>
      <c r="F267" s="18"/>
      <c r="G267" s="18"/>
      <c r="H267" s="58"/>
      <c r="I267" s="21"/>
      <c r="J267" s="22"/>
    </row>
    <row r="268" spans="1:10" ht="13.2" x14ac:dyDescent="0.25">
      <c r="A268" s="17"/>
      <c r="B268" s="17"/>
      <c r="D268" s="18"/>
      <c r="E268" s="18"/>
      <c r="F268" s="18"/>
      <c r="G268" s="18"/>
      <c r="H268" s="58"/>
      <c r="I268" s="21"/>
      <c r="J268" s="22"/>
    </row>
    <row r="269" spans="1:10" ht="13.2" x14ac:dyDescent="0.25">
      <c r="A269" s="17"/>
      <c r="B269" s="17"/>
      <c r="D269" s="18"/>
      <c r="E269" s="18"/>
      <c r="F269" s="18"/>
      <c r="G269" s="18"/>
      <c r="H269" s="58"/>
      <c r="I269" s="21"/>
      <c r="J269" s="22"/>
    </row>
    <row r="270" spans="1:10" ht="13.2" x14ac:dyDescent="0.25">
      <c r="A270" s="17"/>
      <c r="B270" s="17"/>
      <c r="D270" s="18"/>
      <c r="E270" s="18"/>
      <c r="F270" s="18"/>
      <c r="G270" s="18"/>
      <c r="H270" s="58"/>
      <c r="I270" s="21"/>
      <c r="J270" s="22"/>
    </row>
    <row r="271" spans="1:10" ht="13.2" x14ac:dyDescent="0.25">
      <c r="A271" s="17"/>
      <c r="B271" s="17"/>
      <c r="D271" s="18"/>
      <c r="E271" s="18"/>
      <c r="F271" s="18"/>
      <c r="G271" s="18"/>
      <c r="H271" s="58"/>
      <c r="I271" s="21"/>
      <c r="J271" s="22"/>
    </row>
    <row r="272" spans="1:10" ht="13.2" x14ac:dyDescent="0.25">
      <c r="A272" s="17"/>
      <c r="B272" s="17"/>
      <c r="D272" s="18"/>
      <c r="E272" s="18"/>
      <c r="F272" s="18"/>
      <c r="G272" s="18"/>
      <c r="H272" s="58"/>
      <c r="I272" s="21"/>
      <c r="J272" s="22"/>
    </row>
    <row r="273" spans="1:10" ht="13.2" x14ac:dyDescent="0.25">
      <c r="A273" s="17"/>
      <c r="B273" s="17"/>
      <c r="D273" s="18"/>
      <c r="E273" s="18"/>
      <c r="F273" s="18"/>
      <c r="G273" s="18"/>
      <c r="H273" s="58"/>
      <c r="I273" s="21"/>
      <c r="J273" s="22"/>
    </row>
    <row r="274" spans="1:10" ht="13.2" x14ac:dyDescent="0.25">
      <c r="A274" s="17"/>
      <c r="B274" s="17"/>
      <c r="D274" s="18"/>
      <c r="E274" s="18"/>
      <c r="F274" s="18"/>
      <c r="G274" s="18"/>
      <c r="H274" s="58"/>
      <c r="I274" s="21"/>
      <c r="J274" s="22"/>
    </row>
    <row r="275" spans="1:10" ht="13.2" x14ac:dyDescent="0.25">
      <c r="A275" s="17"/>
      <c r="B275" s="17"/>
      <c r="D275" s="18"/>
      <c r="E275" s="18"/>
      <c r="F275" s="18"/>
      <c r="G275" s="18"/>
      <c r="H275" s="58"/>
      <c r="I275" s="21"/>
      <c r="J275" s="22"/>
    </row>
    <row r="276" spans="1:10" ht="13.2" x14ac:dyDescent="0.25">
      <c r="A276" s="17"/>
      <c r="B276" s="17"/>
      <c r="D276" s="18"/>
      <c r="E276" s="18"/>
      <c r="F276" s="18"/>
      <c r="G276" s="18"/>
      <c r="H276" s="58"/>
      <c r="I276" s="21"/>
      <c r="J276" s="22"/>
    </row>
    <row r="277" spans="1:10" ht="13.2" x14ac:dyDescent="0.25">
      <c r="A277" s="17"/>
      <c r="B277" s="17"/>
      <c r="D277" s="18"/>
      <c r="E277" s="18"/>
      <c r="F277" s="18"/>
      <c r="G277" s="18"/>
      <c r="H277" s="58"/>
      <c r="I277" s="21"/>
      <c r="J277" s="22"/>
    </row>
    <row r="278" spans="1:10" ht="13.2" x14ac:dyDescent="0.25">
      <c r="A278" s="17"/>
      <c r="B278" s="17"/>
      <c r="D278" s="18"/>
      <c r="E278" s="18"/>
      <c r="F278" s="18"/>
      <c r="G278" s="18"/>
      <c r="H278" s="58"/>
      <c r="I278" s="21"/>
      <c r="J278" s="22"/>
    </row>
    <row r="279" spans="1:10" ht="13.2" x14ac:dyDescent="0.25">
      <c r="A279" s="17"/>
      <c r="B279" s="17"/>
      <c r="D279" s="18"/>
      <c r="E279" s="18"/>
      <c r="F279" s="18"/>
      <c r="G279" s="18"/>
      <c r="H279" s="58"/>
      <c r="I279" s="21"/>
      <c r="J279" s="22"/>
    </row>
    <row r="280" spans="1:10" ht="13.2" x14ac:dyDescent="0.25">
      <c r="A280" s="17"/>
      <c r="B280" s="17"/>
      <c r="D280" s="18"/>
      <c r="E280" s="18"/>
      <c r="F280" s="18"/>
      <c r="G280" s="18"/>
      <c r="H280" s="58"/>
      <c r="I280" s="21"/>
      <c r="J280" s="22"/>
    </row>
    <row r="281" spans="1:10" ht="13.2" x14ac:dyDescent="0.25">
      <c r="A281" s="17"/>
      <c r="B281" s="17"/>
      <c r="D281" s="18"/>
      <c r="E281" s="18"/>
      <c r="F281" s="18"/>
      <c r="G281" s="18"/>
      <c r="H281" s="58"/>
      <c r="I281" s="21"/>
      <c r="J281" s="22"/>
    </row>
    <row r="282" spans="1:10" ht="13.2" x14ac:dyDescent="0.25">
      <c r="A282" s="17"/>
      <c r="B282" s="17"/>
      <c r="D282" s="18"/>
      <c r="E282" s="18"/>
      <c r="F282" s="18"/>
      <c r="G282" s="18"/>
      <c r="H282" s="58"/>
      <c r="I282" s="21"/>
      <c r="J282" s="22"/>
    </row>
    <row r="283" spans="1:10" ht="13.2" x14ac:dyDescent="0.25">
      <c r="A283" s="17"/>
      <c r="B283" s="17"/>
      <c r="D283" s="18"/>
      <c r="E283" s="18"/>
      <c r="F283" s="18"/>
      <c r="G283" s="18"/>
      <c r="H283" s="58"/>
      <c r="I283" s="21"/>
      <c r="J283" s="22"/>
    </row>
    <row r="284" spans="1:10" ht="13.2" x14ac:dyDescent="0.25">
      <c r="A284" s="17"/>
      <c r="B284" s="17"/>
      <c r="D284" s="18"/>
      <c r="E284" s="18"/>
      <c r="F284" s="18"/>
      <c r="G284" s="18"/>
      <c r="H284" s="58"/>
      <c r="I284" s="21"/>
      <c r="J284" s="22"/>
    </row>
    <row r="285" spans="1:10" ht="13.2" x14ac:dyDescent="0.25">
      <c r="A285" s="17"/>
      <c r="B285" s="17"/>
      <c r="D285" s="18"/>
      <c r="E285" s="18"/>
      <c r="F285" s="18"/>
      <c r="G285" s="18"/>
      <c r="H285" s="58"/>
      <c r="I285" s="21"/>
      <c r="J285" s="22"/>
    </row>
    <row r="286" spans="1:10" ht="13.2" x14ac:dyDescent="0.25">
      <c r="A286" s="17"/>
      <c r="B286" s="17"/>
      <c r="D286" s="18"/>
      <c r="E286" s="18"/>
      <c r="F286" s="18"/>
      <c r="G286" s="18"/>
      <c r="H286" s="58"/>
      <c r="I286" s="21"/>
      <c r="J286" s="22"/>
    </row>
    <row r="287" spans="1:10" ht="13.2" x14ac:dyDescent="0.25">
      <c r="A287" s="17"/>
      <c r="B287" s="17"/>
      <c r="D287" s="18"/>
      <c r="E287" s="18"/>
      <c r="F287" s="18"/>
      <c r="G287" s="18"/>
      <c r="H287" s="58"/>
      <c r="I287" s="21"/>
      <c r="J287" s="22"/>
    </row>
    <row r="288" spans="1:10" ht="13.2" x14ac:dyDescent="0.25">
      <c r="A288" s="17"/>
      <c r="B288" s="17"/>
      <c r="D288" s="18"/>
      <c r="E288" s="18"/>
      <c r="F288" s="18"/>
      <c r="G288" s="18"/>
      <c r="H288" s="58"/>
      <c r="I288" s="21"/>
      <c r="J288" s="22"/>
    </row>
    <row r="289" spans="1:10" ht="13.2" x14ac:dyDescent="0.25">
      <c r="A289" s="17"/>
      <c r="B289" s="17"/>
      <c r="D289" s="18"/>
      <c r="E289" s="18"/>
      <c r="F289" s="18"/>
      <c r="G289" s="18"/>
      <c r="H289" s="58"/>
      <c r="I289" s="21"/>
      <c r="J289" s="22"/>
    </row>
    <row r="290" spans="1:10" ht="13.2" x14ac:dyDescent="0.25">
      <c r="A290" s="17"/>
      <c r="B290" s="17"/>
      <c r="D290" s="18"/>
      <c r="E290" s="18"/>
      <c r="F290" s="18"/>
      <c r="G290" s="18"/>
      <c r="H290" s="58"/>
      <c r="I290" s="21"/>
      <c r="J290" s="22"/>
    </row>
    <row r="291" spans="1:10" ht="13.2" x14ac:dyDescent="0.25">
      <c r="A291" s="17"/>
      <c r="B291" s="17"/>
      <c r="D291" s="18"/>
      <c r="E291" s="18"/>
      <c r="F291" s="18"/>
      <c r="G291" s="18"/>
      <c r="H291" s="58"/>
      <c r="I291" s="21"/>
      <c r="J291" s="22"/>
    </row>
    <row r="292" spans="1:10" ht="13.2" x14ac:dyDescent="0.25">
      <c r="A292" s="17"/>
      <c r="B292" s="17"/>
      <c r="D292" s="18"/>
      <c r="E292" s="18"/>
      <c r="F292" s="18"/>
      <c r="G292" s="18"/>
      <c r="H292" s="58"/>
      <c r="I292" s="21"/>
      <c r="J292" s="22"/>
    </row>
    <row r="293" spans="1:10" ht="13.2" x14ac:dyDescent="0.25">
      <c r="A293" s="17"/>
      <c r="B293" s="17"/>
      <c r="D293" s="18"/>
      <c r="E293" s="18"/>
      <c r="F293" s="18"/>
      <c r="G293" s="18"/>
      <c r="H293" s="58"/>
      <c r="I293" s="21"/>
      <c r="J293" s="22"/>
    </row>
    <row r="294" spans="1:10" ht="13.2" x14ac:dyDescent="0.25">
      <c r="A294" s="17"/>
      <c r="B294" s="17"/>
      <c r="D294" s="18"/>
      <c r="E294" s="18"/>
      <c r="F294" s="18"/>
      <c r="G294" s="18"/>
      <c r="H294" s="58"/>
      <c r="I294" s="21"/>
      <c r="J294" s="22"/>
    </row>
    <row r="295" spans="1:10" ht="13.2" x14ac:dyDescent="0.25">
      <c r="A295" s="17"/>
      <c r="B295" s="17"/>
      <c r="D295" s="18"/>
      <c r="E295" s="18"/>
      <c r="F295" s="18"/>
      <c r="G295" s="18"/>
      <c r="H295" s="58"/>
      <c r="I295" s="21"/>
      <c r="J295" s="22"/>
    </row>
    <row r="296" spans="1:10" ht="13.2" x14ac:dyDescent="0.25">
      <c r="A296" s="17"/>
      <c r="B296" s="17"/>
      <c r="D296" s="18"/>
      <c r="E296" s="18"/>
      <c r="F296" s="18"/>
      <c r="G296" s="18"/>
      <c r="H296" s="58"/>
      <c r="I296" s="21"/>
      <c r="J296" s="22"/>
    </row>
    <row r="297" spans="1:10" ht="13.2" x14ac:dyDescent="0.25">
      <c r="A297" s="17"/>
      <c r="B297" s="17"/>
      <c r="D297" s="18"/>
      <c r="E297" s="18"/>
      <c r="F297" s="18"/>
      <c r="G297" s="18"/>
      <c r="H297" s="58"/>
      <c r="I297" s="21"/>
      <c r="J297" s="22"/>
    </row>
    <row r="298" spans="1:10" ht="13.2" x14ac:dyDescent="0.25">
      <c r="A298" s="17"/>
      <c r="B298" s="17"/>
      <c r="D298" s="18"/>
      <c r="E298" s="18"/>
      <c r="F298" s="18"/>
      <c r="G298" s="18"/>
      <c r="H298" s="58"/>
      <c r="I298" s="21"/>
      <c r="J298" s="22"/>
    </row>
    <row r="299" spans="1:10" ht="13.2" x14ac:dyDescent="0.25">
      <c r="A299" s="17"/>
      <c r="B299" s="17"/>
      <c r="D299" s="18"/>
      <c r="E299" s="18"/>
      <c r="F299" s="18"/>
      <c r="G299" s="18"/>
      <c r="H299" s="58"/>
      <c r="I299" s="21"/>
      <c r="J299" s="22"/>
    </row>
    <row r="300" spans="1:10" ht="13.2" x14ac:dyDescent="0.25">
      <c r="A300" s="17"/>
      <c r="B300" s="17"/>
      <c r="D300" s="18"/>
      <c r="E300" s="18"/>
      <c r="F300" s="18"/>
      <c r="G300" s="18"/>
      <c r="H300" s="58"/>
      <c r="I300" s="21"/>
      <c r="J300" s="22"/>
    </row>
    <row r="301" spans="1:10" ht="13.2" x14ac:dyDescent="0.25">
      <c r="A301" s="17"/>
      <c r="B301" s="17"/>
      <c r="D301" s="18"/>
      <c r="E301" s="18"/>
      <c r="F301" s="18"/>
      <c r="G301" s="18"/>
      <c r="H301" s="58"/>
      <c r="I301" s="21"/>
      <c r="J301" s="22"/>
    </row>
    <row r="302" spans="1:10" ht="13.2" x14ac:dyDescent="0.25">
      <c r="A302" s="17"/>
      <c r="B302" s="17"/>
      <c r="D302" s="18"/>
      <c r="E302" s="18"/>
      <c r="F302" s="18"/>
      <c r="G302" s="18"/>
      <c r="H302" s="58"/>
      <c r="I302" s="21"/>
      <c r="J302" s="22"/>
    </row>
    <row r="303" spans="1:10" ht="13.2" x14ac:dyDescent="0.25">
      <c r="A303" s="17"/>
      <c r="B303" s="17"/>
      <c r="D303" s="18"/>
      <c r="E303" s="18"/>
      <c r="F303" s="18"/>
      <c r="G303" s="18"/>
      <c r="H303" s="58"/>
      <c r="I303" s="21"/>
      <c r="J303" s="22"/>
    </row>
    <row r="304" spans="1:10" ht="13.2" x14ac:dyDescent="0.25">
      <c r="A304" s="17"/>
      <c r="B304" s="17"/>
      <c r="D304" s="18"/>
      <c r="E304" s="18"/>
      <c r="F304" s="18"/>
      <c r="G304" s="18"/>
      <c r="H304" s="58"/>
      <c r="I304" s="21"/>
      <c r="J304" s="22"/>
    </row>
    <row r="305" spans="1:10" ht="13.2" x14ac:dyDescent="0.25">
      <c r="A305" s="17"/>
      <c r="B305" s="17"/>
      <c r="D305" s="18"/>
      <c r="E305" s="18"/>
      <c r="F305" s="18"/>
      <c r="G305" s="18"/>
      <c r="H305" s="58"/>
      <c r="I305" s="21"/>
      <c r="J305" s="22"/>
    </row>
    <row r="306" spans="1:10" ht="13.2" x14ac:dyDescent="0.25">
      <c r="A306" s="17"/>
      <c r="B306" s="17"/>
      <c r="D306" s="18"/>
      <c r="E306" s="18"/>
      <c r="F306" s="18"/>
      <c r="G306" s="18"/>
      <c r="H306" s="58"/>
      <c r="I306" s="21"/>
      <c r="J306" s="22"/>
    </row>
    <row r="307" spans="1:10" ht="13.2" x14ac:dyDescent="0.25">
      <c r="A307" s="17"/>
      <c r="B307" s="17"/>
      <c r="D307" s="18"/>
      <c r="E307" s="18"/>
      <c r="F307" s="18"/>
      <c r="G307" s="18"/>
      <c r="H307" s="58"/>
      <c r="I307" s="21"/>
      <c r="J307" s="22"/>
    </row>
    <row r="308" spans="1:10" ht="13.2" x14ac:dyDescent="0.25">
      <c r="A308" s="17"/>
      <c r="B308" s="17"/>
      <c r="D308" s="18"/>
      <c r="E308" s="18"/>
      <c r="F308" s="18"/>
      <c r="G308" s="18"/>
      <c r="H308" s="58"/>
      <c r="I308" s="21"/>
      <c r="J308" s="22"/>
    </row>
    <row r="309" spans="1:10" ht="13.2" x14ac:dyDescent="0.25">
      <c r="A309" s="17"/>
      <c r="B309" s="17"/>
      <c r="D309" s="18"/>
      <c r="E309" s="18"/>
      <c r="F309" s="18"/>
      <c r="G309" s="18"/>
      <c r="H309" s="58"/>
      <c r="I309" s="21"/>
      <c r="J309" s="22"/>
    </row>
    <row r="310" spans="1:10" ht="13.2" x14ac:dyDescent="0.25">
      <c r="A310" s="17"/>
      <c r="B310" s="17"/>
      <c r="D310" s="18"/>
      <c r="E310" s="18"/>
      <c r="F310" s="18"/>
      <c r="G310" s="18"/>
      <c r="H310" s="58"/>
      <c r="I310" s="21"/>
      <c r="J310" s="22"/>
    </row>
    <row r="311" spans="1:10" ht="13.2" x14ac:dyDescent="0.25">
      <c r="A311" s="17"/>
      <c r="B311" s="17"/>
      <c r="D311" s="18"/>
      <c r="E311" s="18"/>
      <c r="F311" s="18"/>
      <c r="G311" s="18"/>
      <c r="H311" s="58"/>
      <c r="I311" s="21"/>
      <c r="J311" s="22"/>
    </row>
    <row r="312" spans="1:10" ht="13.2" x14ac:dyDescent="0.25">
      <c r="A312" s="17"/>
      <c r="B312" s="17"/>
      <c r="D312" s="18"/>
      <c r="E312" s="18"/>
      <c r="F312" s="18"/>
      <c r="G312" s="18"/>
      <c r="H312" s="58"/>
      <c r="I312" s="21"/>
      <c r="J312" s="22"/>
    </row>
    <row r="313" spans="1:10" ht="13.2" x14ac:dyDescent="0.25">
      <c r="A313" s="17"/>
      <c r="B313" s="17"/>
      <c r="D313" s="18"/>
      <c r="E313" s="18"/>
      <c r="F313" s="18"/>
      <c r="G313" s="18"/>
      <c r="H313" s="58"/>
      <c r="I313" s="21"/>
      <c r="J313" s="22"/>
    </row>
    <row r="314" spans="1:10" ht="13.2" x14ac:dyDescent="0.25">
      <c r="A314" s="17"/>
      <c r="B314" s="17"/>
      <c r="D314" s="18"/>
      <c r="E314" s="18"/>
      <c r="F314" s="18"/>
      <c r="G314" s="18"/>
      <c r="H314" s="58"/>
      <c r="I314" s="21"/>
      <c r="J314" s="22"/>
    </row>
    <row r="315" spans="1:10" ht="13.2" x14ac:dyDescent="0.25">
      <c r="A315" s="17"/>
      <c r="B315" s="17"/>
      <c r="D315" s="18"/>
      <c r="E315" s="18"/>
      <c r="F315" s="18"/>
      <c r="G315" s="18"/>
      <c r="H315" s="58"/>
      <c r="I315" s="21"/>
      <c r="J315" s="22"/>
    </row>
    <row r="316" spans="1:10" ht="13.2" x14ac:dyDescent="0.25">
      <c r="A316" s="17"/>
      <c r="B316" s="17"/>
      <c r="D316" s="18"/>
      <c r="E316" s="18"/>
      <c r="F316" s="18"/>
      <c r="G316" s="18"/>
      <c r="H316" s="58"/>
      <c r="I316" s="21"/>
      <c r="J316" s="22"/>
    </row>
    <row r="317" spans="1:10" ht="13.2" x14ac:dyDescent="0.25">
      <c r="A317" s="17"/>
      <c r="B317" s="17"/>
      <c r="D317" s="18"/>
      <c r="E317" s="18"/>
      <c r="F317" s="18"/>
      <c r="G317" s="18"/>
      <c r="H317" s="58"/>
      <c r="I317" s="21"/>
      <c r="J317" s="22"/>
    </row>
    <row r="318" spans="1:10" ht="13.2" x14ac:dyDescent="0.25">
      <c r="A318" s="17"/>
      <c r="B318" s="17"/>
      <c r="D318" s="18"/>
      <c r="E318" s="18"/>
      <c r="F318" s="18"/>
      <c r="G318" s="18"/>
      <c r="H318" s="58"/>
      <c r="I318" s="21"/>
      <c r="J318" s="22"/>
    </row>
    <row r="319" spans="1:10" ht="13.2" x14ac:dyDescent="0.25">
      <c r="A319" s="17"/>
      <c r="B319" s="17"/>
      <c r="D319" s="18"/>
      <c r="E319" s="18"/>
      <c r="F319" s="18"/>
      <c r="G319" s="18"/>
      <c r="H319" s="58"/>
      <c r="I319" s="21"/>
      <c r="J319" s="22"/>
    </row>
    <row r="320" spans="1:10" ht="13.2" x14ac:dyDescent="0.25">
      <c r="A320" s="17"/>
      <c r="B320" s="17"/>
      <c r="D320" s="18"/>
      <c r="E320" s="18"/>
      <c r="F320" s="18"/>
      <c r="G320" s="18"/>
      <c r="H320" s="58"/>
      <c r="I320" s="21"/>
      <c r="J320" s="22"/>
    </row>
    <row r="321" spans="1:10" ht="13.2" x14ac:dyDescent="0.25">
      <c r="A321" s="17"/>
      <c r="B321" s="17"/>
      <c r="D321" s="18"/>
      <c r="E321" s="18"/>
      <c r="F321" s="18"/>
      <c r="G321" s="18"/>
      <c r="H321" s="58"/>
      <c r="I321" s="21"/>
      <c r="J321" s="22"/>
    </row>
    <row r="322" spans="1:10" ht="13.2" x14ac:dyDescent="0.25">
      <c r="A322" s="17"/>
      <c r="B322" s="17"/>
      <c r="D322" s="18"/>
      <c r="E322" s="18"/>
      <c r="F322" s="18"/>
      <c r="G322" s="18"/>
      <c r="H322" s="58"/>
      <c r="I322" s="21"/>
      <c r="J322" s="22"/>
    </row>
    <row r="323" spans="1:10" ht="13.2" x14ac:dyDescent="0.25">
      <c r="A323" s="17"/>
      <c r="B323" s="17"/>
      <c r="D323" s="18"/>
      <c r="E323" s="18"/>
      <c r="F323" s="18"/>
      <c r="G323" s="18"/>
      <c r="H323" s="58"/>
      <c r="I323" s="21"/>
      <c r="J323" s="22"/>
    </row>
    <row r="324" spans="1:10" ht="13.2" x14ac:dyDescent="0.25">
      <c r="A324" s="17"/>
      <c r="B324" s="17"/>
      <c r="D324" s="18"/>
      <c r="E324" s="18"/>
      <c r="F324" s="18"/>
      <c r="G324" s="18"/>
      <c r="H324" s="58"/>
      <c r="I324" s="21"/>
      <c r="J324" s="22"/>
    </row>
    <row r="325" spans="1:10" ht="13.2" x14ac:dyDescent="0.25">
      <c r="A325" s="17"/>
      <c r="B325" s="17"/>
      <c r="D325" s="18"/>
      <c r="E325" s="18"/>
      <c r="F325" s="18"/>
      <c r="G325" s="18"/>
      <c r="H325" s="58"/>
      <c r="I325" s="21"/>
      <c r="J325" s="22"/>
    </row>
    <row r="326" spans="1:10" ht="13.2" x14ac:dyDescent="0.25">
      <c r="A326" s="17"/>
      <c r="B326" s="17"/>
      <c r="D326" s="18"/>
      <c r="E326" s="18"/>
      <c r="F326" s="18"/>
      <c r="G326" s="18"/>
      <c r="H326" s="58"/>
      <c r="I326" s="21"/>
      <c r="J326" s="22"/>
    </row>
    <row r="327" spans="1:10" ht="13.2" x14ac:dyDescent="0.25">
      <c r="A327" s="17"/>
      <c r="B327" s="17"/>
      <c r="D327" s="18"/>
      <c r="E327" s="18"/>
      <c r="F327" s="18"/>
      <c r="G327" s="18"/>
      <c r="H327" s="58"/>
      <c r="I327" s="21"/>
      <c r="J327" s="22"/>
    </row>
    <row r="328" spans="1:10" ht="13.2" x14ac:dyDescent="0.25">
      <c r="A328" s="17"/>
      <c r="B328" s="17"/>
      <c r="D328" s="18"/>
      <c r="E328" s="18"/>
      <c r="F328" s="18"/>
      <c r="G328" s="18"/>
      <c r="H328" s="58"/>
      <c r="I328" s="21"/>
      <c r="J328" s="22"/>
    </row>
    <row r="329" spans="1:10" ht="13.2" x14ac:dyDescent="0.25">
      <c r="A329" s="17"/>
      <c r="B329" s="17"/>
      <c r="D329" s="18"/>
      <c r="E329" s="18"/>
      <c r="F329" s="18"/>
      <c r="G329" s="18"/>
      <c r="H329" s="58"/>
      <c r="I329" s="21"/>
      <c r="J329" s="22"/>
    </row>
    <row r="330" spans="1:10" ht="13.2" x14ac:dyDescent="0.25">
      <c r="A330" s="17"/>
      <c r="B330" s="17"/>
      <c r="D330" s="18"/>
      <c r="E330" s="18"/>
      <c r="F330" s="18"/>
      <c r="G330" s="18"/>
      <c r="H330" s="58"/>
      <c r="I330" s="21"/>
      <c r="J330" s="22"/>
    </row>
    <row r="331" spans="1:10" ht="13.2" x14ac:dyDescent="0.25">
      <c r="A331" s="17"/>
      <c r="B331" s="17"/>
      <c r="D331" s="18"/>
      <c r="E331" s="18"/>
      <c r="F331" s="18"/>
      <c r="G331" s="18"/>
      <c r="H331" s="58"/>
      <c r="I331" s="21"/>
      <c r="J331" s="22"/>
    </row>
    <row r="332" spans="1:10" ht="13.2" x14ac:dyDescent="0.25">
      <c r="A332" s="17"/>
      <c r="B332" s="17"/>
      <c r="D332" s="18"/>
      <c r="E332" s="18"/>
      <c r="F332" s="18"/>
      <c r="G332" s="18"/>
      <c r="H332" s="58"/>
      <c r="I332" s="21"/>
      <c r="J332" s="22"/>
    </row>
    <row r="333" spans="1:10" ht="13.2" x14ac:dyDescent="0.25">
      <c r="A333" s="17"/>
      <c r="B333" s="17"/>
      <c r="D333" s="18"/>
      <c r="E333" s="18"/>
      <c r="F333" s="18"/>
      <c r="G333" s="18"/>
      <c r="H333" s="58"/>
      <c r="I333" s="21"/>
      <c r="J333" s="22"/>
    </row>
    <row r="334" spans="1:10" ht="13.2" x14ac:dyDescent="0.25">
      <c r="A334" s="17"/>
      <c r="B334" s="17"/>
      <c r="D334" s="18"/>
      <c r="E334" s="18"/>
      <c r="F334" s="18"/>
      <c r="G334" s="18"/>
      <c r="H334" s="58"/>
      <c r="I334" s="21"/>
      <c r="J334" s="22"/>
    </row>
    <row r="335" spans="1:10" ht="13.2" x14ac:dyDescent="0.25">
      <c r="A335" s="17"/>
      <c r="B335" s="17"/>
      <c r="D335" s="18"/>
      <c r="E335" s="18"/>
      <c r="F335" s="18"/>
      <c r="G335" s="18"/>
      <c r="H335" s="58"/>
      <c r="I335" s="21"/>
      <c r="J335" s="22"/>
    </row>
    <row r="336" spans="1:10" ht="13.2" x14ac:dyDescent="0.25">
      <c r="A336" s="17"/>
      <c r="B336" s="17"/>
      <c r="D336" s="18"/>
      <c r="E336" s="18"/>
      <c r="F336" s="18"/>
      <c r="G336" s="18"/>
      <c r="H336" s="58"/>
      <c r="I336" s="21"/>
      <c r="J336" s="22"/>
    </row>
    <row r="337" spans="1:10" ht="13.2" x14ac:dyDescent="0.25">
      <c r="A337" s="17"/>
      <c r="B337" s="17"/>
      <c r="D337" s="18"/>
      <c r="E337" s="18"/>
      <c r="F337" s="18"/>
      <c r="G337" s="18"/>
      <c r="H337" s="58"/>
      <c r="I337" s="21"/>
      <c r="J337" s="22"/>
    </row>
    <row r="338" spans="1:10" ht="13.2" x14ac:dyDescent="0.25">
      <c r="A338" s="17"/>
      <c r="B338" s="17"/>
      <c r="D338" s="18"/>
      <c r="E338" s="18"/>
      <c r="F338" s="18"/>
      <c r="G338" s="18"/>
      <c r="H338" s="58"/>
      <c r="I338" s="21"/>
      <c r="J338" s="22"/>
    </row>
    <row r="339" spans="1:10" ht="13.2" x14ac:dyDescent="0.25">
      <c r="A339" s="17"/>
      <c r="B339" s="17"/>
      <c r="D339" s="18"/>
      <c r="E339" s="18"/>
      <c r="F339" s="18"/>
      <c r="G339" s="18"/>
      <c r="H339" s="58"/>
      <c r="I339" s="21"/>
      <c r="J339" s="22"/>
    </row>
    <row r="340" spans="1:10" ht="13.2" x14ac:dyDescent="0.25">
      <c r="A340" s="17"/>
      <c r="B340" s="17"/>
      <c r="D340" s="18"/>
      <c r="E340" s="18"/>
      <c r="F340" s="18"/>
      <c r="G340" s="18"/>
      <c r="H340" s="58"/>
      <c r="I340" s="21"/>
      <c r="J340" s="22"/>
    </row>
    <row r="341" spans="1:10" ht="13.2" x14ac:dyDescent="0.25">
      <c r="A341" s="17"/>
      <c r="B341" s="17"/>
      <c r="D341" s="18"/>
      <c r="E341" s="18"/>
      <c r="F341" s="18"/>
      <c r="G341" s="18"/>
      <c r="H341" s="58"/>
      <c r="I341" s="21"/>
      <c r="J341" s="22"/>
    </row>
    <row r="342" spans="1:10" ht="13.2" x14ac:dyDescent="0.25">
      <c r="A342" s="17"/>
      <c r="B342" s="17"/>
      <c r="D342" s="18"/>
      <c r="E342" s="18"/>
      <c r="F342" s="18"/>
      <c r="G342" s="18"/>
      <c r="H342" s="58"/>
      <c r="I342" s="21"/>
      <c r="J342" s="22"/>
    </row>
    <row r="343" spans="1:10" ht="13.2" x14ac:dyDescent="0.25">
      <c r="A343" s="17"/>
      <c r="B343" s="17"/>
      <c r="D343" s="18"/>
      <c r="E343" s="18"/>
      <c r="F343" s="18"/>
      <c r="G343" s="18"/>
      <c r="H343" s="58"/>
      <c r="I343" s="21"/>
      <c r="J343" s="22"/>
    </row>
    <row r="344" spans="1:10" ht="13.2" x14ac:dyDescent="0.25">
      <c r="A344" s="17"/>
      <c r="B344" s="17"/>
      <c r="D344" s="18"/>
      <c r="E344" s="18"/>
      <c r="F344" s="18"/>
      <c r="G344" s="18"/>
      <c r="H344" s="58"/>
      <c r="I344" s="21"/>
      <c r="J344" s="22"/>
    </row>
    <row r="345" spans="1:10" ht="13.2" x14ac:dyDescent="0.25">
      <c r="A345" s="17"/>
      <c r="B345" s="17"/>
      <c r="D345" s="18"/>
      <c r="E345" s="18"/>
      <c r="F345" s="18"/>
      <c r="G345" s="18"/>
      <c r="H345" s="58"/>
      <c r="I345" s="21"/>
      <c r="J345" s="22"/>
    </row>
    <row r="346" spans="1:10" ht="13.2" x14ac:dyDescent="0.25">
      <c r="A346" s="17"/>
      <c r="B346" s="17"/>
      <c r="D346" s="18"/>
      <c r="E346" s="18"/>
      <c r="F346" s="18"/>
      <c r="G346" s="18"/>
      <c r="H346" s="58"/>
      <c r="I346" s="21"/>
      <c r="J346" s="22"/>
    </row>
    <row r="347" spans="1:10" ht="13.2" x14ac:dyDescent="0.25">
      <c r="A347" s="17"/>
      <c r="B347" s="17"/>
      <c r="D347" s="18"/>
      <c r="E347" s="18"/>
      <c r="F347" s="18"/>
      <c r="G347" s="18"/>
      <c r="H347" s="58"/>
      <c r="I347" s="21"/>
      <c r="J347" s="22"/>
    </row>
    <row r="348" spans="1:10" ht="13.2" x14ac:dyDescent="0.25">
      <c r="A348" s="17"/>
      <c r="B348" s="17"/>
      <c r="D348" s="18"/>
      <c r="E348" s="18"/>
      <c r="F348" s="18"/>
      <c r="G348" s="18"/>
      <c r="H348" s="58"/>
      <c r="I348" s="21"/>
      <c r="J348" s="22"/>
    </row>
    <row r="349" spans="1:10" ht="13.2" x14ac:dyDescent="0.25">
      <c r="A349" s="17"/>
      <c r="B349" s="17"/>
      <c r="D349" s="18"/>
      <c r="E349" s="18"/>
      <c r="F349" s="18"/>
      <c r="G349" s="18"/>
      <c r="H349" s="58"/>
      <c r="I349" s="21"/>
      <c r="J349" s="22"/>
    </row>
    <row r="350" spans="1:10" ht="13.2" x14ac:dyDescent="0.25">
      <c r="A350" s="17"/>
      <c r="B350" s="17"/>
      <c r="D350" s="18"/>
      <c r="E350" s="18"/>
      <c r="F350" s="18"/>
      <c r="G350" s="18"/>
      <c r="H350" s="58"/>
      <c r="I350" s="21"/>
      <c r="J350" s="22"/>
    </row>
    <row r="351" spans="1:10" ht="13.2" x14ac:dyDescent="0.25">
      <c r="A351" s="17"/>
      <c r="B351" s="17"/>
      <c r="D351" s="18"/>
      <c r="E351" s="18"/>
      <c r="F351" s="18"/>
      <c r="G351" s="18"/>
      <c r="H351" s="58"/>
      <c r="I351" s="21"/>
      <c r="J351" s="22"/>
    </row>
    <row r="352" spans="1:10" ht="13.2" x14ac:dyDescent="0.25">
      <c r="A352" s="17"/>
      <c r="B352" s="17"/>
      <c r="D352" s="18"/>
      <c r="E352" s="18"/>
      <c r="F352" s="18"/>
      <c r="G352" s="18"/>
      <c r="H352" s="58"/>
      <c r="I352" s="21"/>
      <c r="J352" s="22"/>
    </row>
    <row r="353" spans="1:10" ht="13.2" x14ac:dyDescent="0.25">
      <c r="A353" s="17"/>
      <c r="B353" s="17"/>
      <c r="D353" s="18"/>
      <c r="E353" s="18"/>
      <c r="F353" s="18"/>
      <c r="G353" s="18"/>
      <c r="H353" s="58"/>
      <c r="I353" s="21"/>
      <c r="J353" s="22"/>
    </row>
    <row r="354" spans="1:10" ht="13.2" x14ac:dyDescent="0.25">
      <c r="A354" s="17"/>
      <c r="B354" s="17"/>
      <c r="D354" s="18"/>
      <c r="E354" s="18"/>
      <c r="F354" s="18"/>
      <c r="G354" s="18"/>
      <c r="H354" s="58"/>
      <c r="I354" s="21"/>
      <c r="J354" s="22"/>
    </row>
    <row r="355" spans="1:10" ht="13.2" x14ac:dyDescent="0.25">
      <c r="A355" s="17"/>
      <c r="B355" s="17"/>
      <c r="D355" s="18"/>
      <c r="E355" s="18"/>
      <c r="F355" s="18"/>
      <c r="G355" s="18"/>
      <c r="H355" s="58"/>
      <c r="I355" s="21"/>
      <c r="J355" s="22"/>
    </row>
    <row r="356" spans="1:10" ht="13.2" x14ac:dyDescent="0.25">
      <c r="A356" s="17"/>
      <c r="B356" s="17"/>
      <c r="D356" s="18"/>
      <c r="E356" s="18"/>
      <c r="F356" s="18"/>
      <c r="G356" s="18"/>
      <c r="H356" s="58"/>
      <c r="I356" s="21"/>
      <c r="J356" s="22"/>
    </row>
    <row r="357" spans="1:10" ht="13.2" x14ac:dyDescent="0.25">
      <c r="A357" s="17"/>
      <c r="B357" s="17"/>
      <c r="D357" s="18"/>
      <c r="E357" s="18"/>
      <c r="F357" s="18"/>
      <c r="G357" s="18"/>
      <c r="H357" s="58"/>
      <c r="I357" s="21"/>
      <c r="J357" s="22"/>
    </row>
    <row r="358" spans="1:10" ht="13.2" x14ac:dyDescent="0.25">
      <c r="A358" s="17"/>
      <c r="B358" s="17"/>
      <c r="D358" s="18"/>
      <c r="E358" s="18"/>
      <c r="F358" s="18"/>
      <c r="G358" s="18"/>
      <c r="H358" s="58"/>
      <c r="I358" s="21"/>
      <c r="J358" s="22"/>
    </row>
    <row r="359" spans="1:10" ht="13.2" x14ac:dyDescent="0.25">
      <c r="A359" s="17"/>
      <c r="B359" s="17"/>
      <c r="D359" s="18"/>
      <c r="E359" s="18"/>
      <c r="F359" s="18"/>
      <c r="G359" s="18"/>
      <c r="H359" s="58"/>
      <c r="I359" s="21"/>
      <c r="J359" s="22"/>
    </row>
    <row r="360" spans="1:10" ht="13.2" x14ac:dyDescent="0.25">
      <c r="A360" s="17"/>
      <c r="B360" s="17"/>
      <c r="D360" s="18"/>
      <c r="E360" s="18"/>
      <c r="F360" s="18"/>
      <c r="G360" s="18"/>
      <c r="H360" s="58"/>
      <c r="I360" s="21"/>
      <c r="J360" s="22"/>
    </row>
    <row r="361" spans="1:10" ht="13.2" x14ac:dyDescent="0.25">
      <c r="A361" s="17"/>
      <c r="B361" s="17"/>
      <c r="D361" s="18"/>
      <c r="E361" s="18"/>
      <c r="F361" s="18"/>
      <c r="G361" s="18"/>
      <c r="H361" s="58"/>
      <c r="I361" s="21"/>
      <c r="J361" s="22"/>
    </row>
    <row r="362" spans="1:10" ht="13.2" x14ac:dyDescent="0.25">
      <c r="A362" s="17"/>
      <c r="B362" s="17"/>
      <c r="D362" s="18"/>
      <c r="E362" s="18"/>
      <c r="F362" s="18"/>
      <c r="G362" s="18"/>
      <c r="H362" s="58"/>
      <c r="I362" s="21"/>
      <c r="J362" s="22"/>
    </row>
    <row r="363" spans="1:10" ht="13.2" x14ac:dyDescent="0.25">
      <c r="A363" s="17"/>
      <c r="B363" s="17"/>
      <c r="D363" s="18"/>
      <c r="E363" s="18"/>
      <c r="F363" s="18"/>
      <c r="G363" s="18"/>
      <c r="H363" s="58"/>
      <c r="I363" s="21"/>
      <c r="J363" s="22"/>
    </row>
    <row r="364" spans="1:10" ht="13.2" x14ac:dyDescent="0.25">
      <c r="A364" s="17"/>
      <c r="B364" s="17"/>
      <c r="D364" s="18"/>
      <c r="E364" s="18"/>
      <c r="F364" s="18"/>
      <c r="G364" s="18"/>
      <c r="H364" s="58"/>
      <c r="I364" s="21"/>
      <c r="J364" s="22"/>
    </row>
    <row r="365" spans="1:10" ht="13.2" x14ac:dyDescent="0.25">
      <c r="A365" s="17"/>
      <c r="B365" s="17"/>
      <c r="D365" s="18"/>
      <c r="E365" s="18"/>
      <c r="F365" s="18"/>
      <c r="G365" s="18"/>
      <c r="H365" s="58"/>
      <c r="I365" s="21"/>
      <c r="J365" s="22"/>
    </row>
    <row r="366" spans="1:10" ht="13.2" x14ac:dyDescent="0.25">
      <c r="A366" s="17"/>
      <c r="B366" s="17"/>
      <c r="D366" s="18"/>
      <c r="E366" s="18"/>
      <c r="F366" s="18"/>
      <c r="G366" s="18"/>
      <c r="H366" s="58"/>
      <c r="I366" s="21"/>
      <c r="J366" s="22"/>
    </row>
    <row r="367" spans="1:10" ht="13.2" x14ac:dyDescent="0.25">
      <c r="A367" s="17"/>
      <c r="B367" s="17"/>
      <c r="D367" s="18"/>
      <c r="E367" s="18"/>
      <c r="F367" s="18"/>
      <c r="G367" s="18"/>
      <c r="H367" s="58"/>
      <c r="I367" s="21"/>
      <c r="J367" s="22"/>
    </row>
    <row r="368" spans="1:10" ht="13.2" x14ac:dyDescent="0.25">
      <c r="A368" s="17"/>
      <c r="B368" s="17"/>
      <c r="D368" s="18"/>
      <c r="E368" s="18"/>
      <c r="F368" s="18"/>
      <c r="G368" s="18"/>
      <c r="H368" s="58"/>
      <c r="I368" s="21"/>
      <c r="J368" s="22"/>
    </row>
    <row r="369" spans="1:10" ht="13.2" x14ac:dyDescent="0.25">
      <c r="A369" s="17"/>
      <c r="B369" s="17"/>
      <c r="D369" s="18"/>
      <c r="E369" s="18"/>
      <c r="F369" s="18"/>
      <c r="G369" s="18"/>
      <c r="H369" s="58"/>
      <c r="I369" s="21"/>
      <c r="J369" s="22"/>
    </row>
    <row r="370" spans="1:10" ht="13.2" x14ac:dyDescent="0.25">
      <c r="A370" s="17"/>
      <c r="B370" s="17"/>
      <c r="D370" s="18"/>
      <c r="E370" s="18"/>
      <c r="F370" s="18"/>
      <c r="G370" s="18"/>
      <c r="H370" s="58"/>
      <c r="I370" s="21"/>
      <c r="J370" s="22"/>
    </row>
    <row r="371" spans="1:10" ht="13.2" x14ac:dyDescent="0.25">
      <c r="A371" s="17"/>
      <c r="B371" s="17"/>
      <c r="D371" s="18"/>
      <c r="E371" s="18"/>
      <c r="F371" s="18"/>
      <c r="G371" s="18"/>
      <c r="H371" s="58"/>
      <c r="I371" s="21"/>
      <c r="J371" s="22"/>
    </row>
    <row r="372" spans="1:10" ht="13.2" x14ac:dyDescent="0.25">
      <c r="A372" s="17"/>
      <c r="B372" s="17"/>
      <c r="D372" s="18"/>
      <c r="E372" s="18"/>
      <c r="F372" s="18"/>
      <c r="G372" s="18"/>
      <c r="H372" s="58"/>
      <c r="I372" s="21"/>
      <c r="J372" s="22"/>
    </row>
    <row r="373" spans="1:10" ht="13.2" x14ac:dyDescent="0.25">
      <c r="A373" s="17"/>
      <c r="B373" s="17"/>
      <c r="D373" s="18"/>
      <c r="E373" s="18"/>
      <c r="F373" s="18"/>
      <c r="G373" s="18"/>
      <c r="H373" s="58"/>
      <c r="I373" s="21"/>
      <c r="J373" s="22"/>
    </row>
    <row r="374" spans="1:10" ht="13.2" x14ac:dyDescent="0.25">
      <c r="A374" s="17"/>
      <c r="B374" s="17"/>
      <c r="D374" s="18"/>
      <c r="E374" s="18"/>
      <c r="F374" s="18"/>
      <c r="G374" s="18"/>
      <c r="H374" s="58"/>
      <c r="I374" s="21"/>
      <c r="J374" s="22"/>
    </row>
    <row r="375" spans="1:10" ht="13.2" x14ac:dyDescent="0.25">
      <c r="A375" s="17"/>
      <c r="B375" s="17"/>
      <c r="D375" s="18"/>
      <c r="E375" s="18"/>
      <c r="F375" s="18"/>
      <c r="G375" s="18"/>
      <c r="H375" s="58"/>
      <c r="I375" s="21"/>
      <c r="J375" s="22"/>
    </row>
    <row r="376" spans="1:10" ht="13.2" x14ac:dyDescent="0.25">
      <c r="A376" s="17"/>
      <c r="B376" s="17"/>
      <c r="D376" s="18"/>
      <c r="E376" s="18"/>
      <c r="F376" s="18"/>
      <c r="G376" s="18"/>
      <c r="H376" s="58"/>
      <c r="I376" s="21"/>
      <c r="J376" s="22"/>
    </row>
    <row r="377" spans="1:10" ht="13.2" x14ac:dyDescent="0.25">
      <c r="A377" s="17"/>
      <c r="B377" s="17"/>
      <c r="D377" s="18"/>
      <c r="E377" s="18"/>
      <c r="F377" s="18"/>
      <c r="G377" s="18"/>
      <c r="H377" s="58"/>
      <c r="I377" s="21"/>
      <c r="J377" s="22"/>
    </row>
    <row r="378" spans="1:10" ht="13.2" x14ac:dyDescent="0.25">
      <c r="A378" s="17"/>
      <c r="B378" s="17"/>
      <c r="D378" s="18"/>
      <c r="E378" s="18"/>
      <c r="F378" s="18"/>
      <c r="G378" s="18"/>
      <c r="H378" s="58"/>
      <c r="I378" s="21"/>
      <c r="J378" s="22"/>
    </row>
    <row r="379" spans="1:10" ht="13.2" x14ac:dyDescent="0.25">
      <c r="A379" s="17"/>
      <c r="B379" s="17"/>
      <c r="D379" s="18"/>
      <c r="E379" s="18"/>
      <c r="F379" s="18"/>
      <c r="G379" s="18"/>
      <c r="H379" s="58"/>
      <c r="I379" s="21"/>
      <c r="J379" s="22"/>
    </row>
    <row r="380" spans="1:10" ht="13.2" x14ac:dyDescent="0.25">
      <c r="A380" s="17"/>
      <c r="B380" s="17"/>
      <c r="D380" s="18"/>
      <c r="E380" s="18"/>
      <c r="F380" s="18"/>
      <c r="G380" s="18"/>
      <c r="H380" s="58"/>
      <c r="I380" s="21"/>
      <c r="J380" s="22"/>
    </row>
    <row r="381" spans="1:10" ht="13.2" x14ac:dyDescent="0.25">
      <c r="A381" s="17"/>
      <c r="B381" s="17"/>
      <c r="D381" s="18"/>
      <c r="E381" s="18"/>
      <c r="F381" s="18"/>
      <c r="G381" s="18"/>
      <c r="H381" s="58"/>
      <c r="I381" s="21"/>
      <c r="J381" s="22"/>
    </row>
    <row r="382" spans="1:10" ht="13.2" x14ac:dyDescent="0.25">
      <c r="A382" s="17"/>
      <c r="B382" s="17"/>
      <c r="D382" s="18"/>
      <c r="E382" s="18"/>
      <c r="F382" s="18"/>
      <c r="G382" s="18"/>
      <c r="H382" s="58"/>
      <c r="I382" s="21"/>
      <c r="J382" s="22"/>
    </row>
    <row r="383" spans="1:10" ht="13.2" x14ac:dyDescent="0.25">
      <c r="A383" s="17"/>
      <c r="B383" s="17"/>
      <c r="D383" s="18"/>
      <c r="E383" s="18"/>
      <c r="F383" s="18"/>
      <c r="G383" s="18"/>
      <c r="H383" s="58"/>
      <c r="I383" s="21"/>
      <c r="J383" s="22"/>
    </row>
    <row r="384" spans="1:10" ht="13.2" x14ac:dyDescent="0.25">
      <c r="A384" s="17"/>
      <c r="B384" s="17"/>
      <c r="D384" s="18"/>
      <c r="E384" s="18"/>
      <c r="F384" s="18"/>
      <c r="G384" s="18"/>
      <c r="H384" s="58"/>
      <c r="I384" s="21"/>
      <c r="J384" s="22"/>
    </row>
    <row r="385" spans="1:10" ht="13.2" x14ac:dyDescent="0.25">
      <c r="A385" s="17"/>
      <c r="B385" s="17"/>
      <c r="D385" s="18"/>
      <c r="E385" s="18"/>
      <c r="F385" s="18"/>
      <c r="G385" s="18"/>
      <c r="H385" s="58"/>
      <c r="I385" s="21"/>
      <c r="J385" s="22"/>
    </row>
    <row r="386" spans="1:10" ht="13.2" x14ac:dyDescent="0.25">
      <c r="A386" s="17"/>
      <c r="B386" s="17"/>
      <c r="D386" s="18"/>
      <c r="E386" s="18"/>
      <c r="F386" s="18"/>
      <c r="G386" s="18"/>
      <c r="H386" s="58"/>
      <c r="I386" s="21"/>
      <c r="J386" s="22"/>
    </row>
    <row r="387" spans="1:10" ht="13.2" x14ac:dyDescent="0.25">
      <c r="A387" s="17"/>
      <c r="B387" s="17"/>
      <c r="D387" s="18"/>
      <c r="E387" s="18"/>
      <c r="F387" s="18"/>
      <c r="G387" s="18"/>
      <c r="H387" s="58"/>
      <c r="I387" s="21"/>
      <c r="J387" s="22"/>
    </row>
    <row r="388" spans="1:10" ht="13.2" x14ac:dyDescent="0.25">
      <c r="A388" s="17"/>
      <c r="B388" s="17"/>
      <c r="D388" s="18"/>
      <c r="E388" s="18"/>
      <c r="F388" s="18"/>
      <c r="G388" s="18"/>
      <c r="H388" s="58"/>
      <c r="I388" s="21"/>
      <c r="J388" s="22"/>
    </row>
    <row r="389" spans="1:10" ht="13.2" x14ac:dyDescent="0.25">
      <c r="A389" s="17"/>
      <c r="B389" s="17"/>
      <c r="D389" s="18"/>
      <c r="E389" s="18"/>
      <c r="F389" s="18"/>
      <c r="G389" s="18"/>
      <c r="H389" s="58"/>
      <c r="I389" s="21"/>
      <c r="J389" s="22"/>
    </row>
    <row r="390" spans="1:10" ht="13.2" x14ac:dyDescent="0.25">
      <c r="A390" s="17"/>
      <c r="B390" s="17"/>
      <c r="D390" s="18"/>
      <c r="E390" s="18"/>
      <c r="F390" s="18"/>
      <c r="G390" s="18"/>
      <c r="H390" s="58"/>
      <c r="I390" s="21"/>
      <c r="J390" s="22"/>
    </row>
    <row r="391" spans="1:10" ht="13.2" x14ac:dyDescent="0.25">
      <c r="A391" s="17"/>
      <c r="B391" s="17"/>
      <c r="D391" s="18"/>
      <c r="E391" s="18"/>
      <c r="F391" s="18"/>
      <c r="G391" s="18"/>
      <c r="H391" s="58"/>
      <c r="I391" s="21"/>
      <c r="J391" s="22"/>
    </row>
    <row r="392" spans="1:10" ht="13.2" x14ac:dyDescent="0.25">
      <c r="A392" s="17"/>
      <c r="B392" s="17"/>
      <c r="D392" s="18"/>
      <c r="E392" s="18"/>
      <c r="F392" s="18"/>
      <c r="G392" s="18"/>
      <c r="H392" s="58"/>
      <c r="I392" s="21"/>
      <c r="J392" s="22"/>
    </row>
    <row r="393" spans="1:10" ht="13.2" x14ac:dyDescent="0.25">
      <c r="A393" s="17"/>
      <c r="B393" s="17"/>
      <c r="D393" s="18"/>
      <c r="E393" s="18"/>
      <c r="F393" s="18"/>
      <c r="G393" s="18"/>
      <c r="H393" s="58"/>
      <c r="I393" s="21"/>
      <c r="J393" s="22"/>
    </row>
    <row r="394" spans="1:10" ht="13.2" x14ac:dyDescent="0.25">
      <c r="A394" s="17"/>
      <c r="B394" s="17"/>
      <c r="D394" s="18"/>
      <c r="E394" s="18"/>
      <c r="F394" s="18"/>
      <c r="G394" s="18"/>
      <c r="H394" s="58"/>
      <c r="I394" s="21"/>
      <c r="J394" s="22"/>
    </row>
    <row r="395" spans="1:10" ht="13.2" x14ac:dyDescent="0.25">
      <c r="A395" s="17"/>
      <c r="B395" s="17"/>
      <c r="D395" s="18"/>
      <c r="E395" s="18"/>
      <c r="F395" s="18"/>
      <c r="G395" s="18"/>
      <c r="H395" s="58"/>
      <c r="I395" s="21"/>
      <c r="J395" s="22"/>
    </row>
    <row r="396" spans="1:10" ht="13.2" x14ac:dyDescent="0.25">
      <c r="A396" s="17"/>
      <c r="B396" s="17"/>
      <c r="D396" s="18"/>
      <c r="E396" s="18"/>
      <c r="F396" s="18"/>
      <c r="G396" s="18"/>
      <c r="H396" s="58"/>
      <c r="I396" s="21"/>
      <c r="J396" s="22"/>
    </row>
    <row r="397" spans="1:10" ht="13.2" x14ac:dyDescent="0.25">
      <c r="A397" s="17"/>
      <c r="B397" s="17"/>
      <c r="D397" s="18"/>
      <c r="E397" s="18"/>
      <c r="F397" s="18"/>
      <c r="G397" s="18"/>
      <c r="H397" s="58"/>
      <c r="I397" s="21"/>
      <c r="J397" s="22"/>
    </row>
    <row r="398" spans="1:10" ht="13.2" x14ac:dyDescent="0.25">
      <c r="A398" s="17"/>
      <c r="B398" s="17"/>
      <c r="D398" s="18"/>
      <c r="E398" s="18"/>
      <c r="F398" s="18"/>
      <c r="G398" s="18"/>
      <c r="H398" s="58"/>
      <c r="I398" s="21"/>
      <c r="J398" s="22"/>
    </row>
    <row r="399" spans="1:10" ht="13.2" x14ac:dyDescent="0.25">
      <c r="A399" s="17"/>
      <c r="B399" s="17"/>
      <c r="D399" s="18"/>
      <c r="E399" s="18"/>
      <c r="F399" s="18"/>
      <c r="G399" s="18"/>
      <c r="H399" s="58"/>
      <c r="I399" s="21"/>
      <c r="J399" s="22"/>
    </row>
    <row r="400" spans="1:10" ht="13.2" x14ac:dyDescent="0.25">
      <c r="A400" s="17"/>
      <c r="B400" s="17"/>
      <c r="D400" s="18"/>
      <c r="E400" s="18"/>
      <c r="F400" s="18"/>
      <c r="G400" s="18"/>
      <c r="H400" s="58"/>
      <c r="I400" s="21"/>
      <c r="J400" s="22"/>
    </row>
    <row r="401" spans="1:10" ht="13.2" x14ac:dyDescent="0.25">
      <c r="A401" s="17"/>
      <c r="B401" s="17"/>
      <c r="D401" s="18"/>
      <c r="E401" s="18"/>
      <c r="F401" s="18"/>
      <c r="G401" s="18"/>
      <c r="H401" s="58"/>
      <c r="I401" s="21"/>
      <c r="J401" s="22"/>
    </row>
    <row r="402" spans="1:10" ht="13.2" x14ac:dyDescent="0.25">
      <c r="A402" s="17"/>
      <c r="B402" s="17"/>
      <c r="D402" s="18"/>
      <c r="E402" s="18"/>
      <c r="F402" s="18"/>
      <c r="G402" s="18"/>
      <c r="H402" s="58"/>
      <c r="I402" s="21"/>
      <c r="J402" s="22"/>
    </row>
    <row r="403" spans="1:10" ht="13.2" x14ac:dyDescent="0.25">
      <c r="A403" s="17"/>
      <c r="B403" s="17"/>
      <c r="D403" s="18"/>
      <c r="E403" s="18"/>
      <c r="F403" s="18"/>
      <c r="G403" s="18"/>
      <c r="H403" s="58"/>
      <c r="I403" s="21"/>
      <c r="J403" s="22"/>
    </row>
    <row r="404" spans="1:10" ht="13.2" x14ac:dyDescent="0.25">
      <c r="A404" s="17"/>
      <c r="B404" s="17"/>
      <c r="D404" s="18"/>
      <c r="E404" s="18"/>
      <c r="F404" s="18"/>
      <c r="G404" s="18"/>
      <c r="H404" s="58"/>
      <c r="I404" s="21"/>
      <c r="J404" s="22"/>
    </row>
    <row r="405" spans="1:10" ht="13.2" x14ac:dyDescent="0.25">
      <c r="A405" s="17"/>
      <c r="B405" s="17"/>
      <c r="D405" s="18"/>
      <c r="E405" s="18"/>
      <c r="F405" s="18"/>
      <c r="G405" s="18"/>
      <c r="H405" s="58"/>
      <c r="I405" s="21"/>
      <c r="J405" s="22"/>
    </row>
    <row r="406" spans="1:10" ht="13.2" x14ac:dyDescent="0.25">
      <c r="A406" s="17"/>
      <c r="B406" s="17"/>
      <c r="D406" s="18"/>
      <c r="E406" s="18"/>
      <c r="F406" s="18"/>
      <c r="G406" s="18"/>
      <c r="H406" s="58"/>
      <c r="I406" s="21"/>
      <c r="J406" s="22"/>
    </row>
    <row r="407" spans="1:10" ht="13.2" x14ac:dyDescent="0.25">
      <c r="A407" s="17"/>
      <c r="B407" s="17"/>
      <c r="D407" s="18"/>
      <c r="E407" s="18"/>
      <c r="F407" s="18"/>
      <c r="G407" s="18"/>
      <c r="H407" s="58"/>
      <c r="I407" s="21"/>
      <c r="J407" s="22"/>
    </row>
    <row r="408" spans="1:10" ht="13.2" x14ac:dyDescent="0.25">
      <c r="A408" s="17"/>
      <c r="B408" s="17"/>
      <c r="D408" s="18"/>
      <c r="E408" s="18"/>
      <c r="F408" s="18"/>
      <c r="G408" s="18"/>
      <c r="H408" s="58"/>
      <c r="I408" s="21"/>
      <c r="J408" s="22"/>
    </row>
    <row r="409" spans="1:10" ht="13.2" x14ac:dyDescent="0.25">
      <c r="A409" s="17"/>
      <c r="B409" s="17"/>
      <c r="D409" s="18"/>
      <c r="E409" s="18"/>
      <c r="F409" s="18"/>
      <c r="G409" s="18"/>
      <c r="H409" s="58"/>
      <c r="I409" s="21"/>
      <c r="J409" s="22"/>
    </row>
    <row r="410" spans="1:10" ht="13.2" x14ac:dyDescent="0.25">
      <c r="A410" s="17"/>
      <c r="B410" s="17"/>
      <c r="D410" s="18"/>
      <c r="E410" s="18"/>
      <c r="F410" s="18"/>
      <c r="G410" s="18"/>
      <c r="H410" s="58"/>
      <c r="I410" s="21"/>
      <c r="J410" s="22"/>
    </row>
    <row r="411" spans="1:10" ht="13.2" x14ac:dyDescent="0.25">
      <c r="A411" s="17"/>
      <c r="B411" s="17"/>
      <c r="D411" s="18"/>
      <c r="E411" s="18"/>
      <c r="F411" s="18"/>
      <c r="G411" s="18"/>
      <c r="H411" s="58"/>
      <c r="I411" s="21"/>
      <c r="J411" s="22"/>
    </row>
    <row r="412" spans="1:10" ht="13.2" x14ac:dyDescent="0.25">
      <c r="A412" s="17"/>
      <c r="B412" s="17"/>
      <c r="D412" s="18"/>
      <c r="E412" s="18"/>
      <c r="F412" s="18"/>
      <c r="G412" s="18"/>
      <c r="H412" s="58"/>
      <c r="I412" s="21"/>
      <c r="J412" s="22"/>
    </row>
    <row r="413" spans="1:10" ht="13.2" x14ac:dyDescent="0.25">
      <c r="A413" s="17"/>
      <c r="B413" s="17"/>
      <c r="D413" s="18"/>
      <c r="E413" s="18"/>
      <c r="F413" s="18"/>
      <c r="G413" s="18"/>
      <c r="H413" s="58"/>
      <c r="I413" s="21"/>
      <c r="J413" s="22"/>
    </row>
    <row r="414" spans="1:10" ht="13.2" x14ac:dyDescent="0.25">
      <c r="A414" s="17"/>
      <c r="B414" s="17"/>
      <c r="D414" s="18"/>
      <c r="E414" s="18"/>
      <c r="F414" s="18"/>
      <c r="G414" s="18"/>
      <c r="H414" s="58"/>
      <c r="I414" s="21"/>
      <c r="J414" s="22"/>
    </row>
    <row r="415" spans="1:10" ht="13.2" x14ac:dyDescent="0.25">
      <c r="A415" s="17"/>
      <c r="B415" s="17"/>
      <c r="D415" s="18"/>
      <c r="E415" s="18"/>
      <c r="F415" s="18"/>
      <c r="G415" s="18"/>
      <c r="H415" s="58"/>
      <c r="I415" s="21"/>
      <c r="J415" s="22"/>
    </row>
    <row r="416" spans="1:10" ht="13.2" x14ac:dyDescent="0.25">
      <c r="A416" s="17"/>
      <c r="B416" s="17"/>
      <c r="D416" s="18"/>
      <c r="E416" s="18"/>
      <c r="F416" s="18"/>
      <c r="G416" s="18"/>
      <c r="H416" s="58"/>
      <c r="I416" s="21"/>
      <c r="J416" s="22"/>
    </row>
    <row r="417" spans="1:10" ht="13.2" x14ac:dyDescent="0.25">
      <c r="A417" s="17"/>
      <c r="B417" s="17"/>
      <c r="D417" s="18"/>
      <c r="E417" s="18"/>
      <c r="F417" s="18"/>
      <c r="G417" s="18"/>
      <c r="H417" s="58"/>
      <c r="I417" s="21"/>
      <c r="J417" s="22"/>
    </row>
    <row r="418" spans="1:10" ht="13.2" x14ac:dyDescent="0.25">
      <c r="A418" s="17"/>
      <c r="B418" s="17"/>
      <c r="D418" s="18"/>
      <c r="E418" s="18"/>
      <c r="F418" s="18"/>
      <c r="G418" s="18"/>
      <c r="H418" s="58"/>
      <c r="I418" s="21"/>
      <c r="J418" s="22"/>
    </row>
    <row r="419" spans="1:10" ht="13.2" x14ac:dyDescent="0.25">
      <c r="A419" s="17"/>
      <c r="B419" s="17"/>
      <c r="D419" s="18"/>
      <c r="E419" s="18"/>
      <c r="F419" s="18"/>
      <c r="G419" s="18"/>
      <c r="H419" s="58"/>
      <c r="I419" s="21"/>
      <c r="J419" s="22"/>
    </row>
    <row r="420" spans="1:10" ht="13.2" x14ac:dyDescent="0.25">
      <c r="A420" s="17"/>
      <c r="B420" s="17"/>
      <c r="D420" s="18"/>
      <c r="E420" s="18"/>
      <c r="F420" s="18"/>
      <c r="G420" s="18"/>
      <c r="H420" s="58"/>
      <c r="I420" s="21"/>
      <c r="J420" s="22"/>
    </row>
    <row r="421" spans="1:10" ht="13.2" x14ac:dyDescent="0.25">
      <c r="A421" s="17"/>
      <c r="B421" s="17"/>
      <c r="D421" s="18"/>
      <c r="E421" s="18"/>
      <c r="F421" s="18"/>
      <c r="G421" s="18"/>
      <c r="H421" s="58"/>
      <c r="I421" s="21"/>
      <c r="J421" s="22"/>
    </row>
    <row r="422" spans="1:10" ht="13.2" x14ac:dyDescent="0.25">
      <c r="A422" s="17"/>
      <c r="B422" s="17"/>
      <c r="D422" s="18"/>
      <c r="E422" s="18"/>
      <c r="F422" s="18"/>
      <c r="G422" s="18"/>
      <c r="H422" s="58"/>
      <c r="I422" s="21"/>
      <c r="J422" s="22"/>
    </row>
    <row r="423" spans="1:10" ht="13.2" x14ac:dyDescent="0.25">
      <c r="A423" s="17"/>
      <c r="B423" s="17"/>
      <c r="D423" s="18"/>
      <c r="E423" s="18"/>
      <c r="F423" s="18"/>
      <c r="G423" s="18"/>
      <c r="H423" s="58"/>
      <c r="I423" s="21"/>
      <c r="J423" s="22"/>
    </row>
    <row r="424" spans="1:10" ht="13.2" x14ac:dyDescent="0.25">
      <c r="A424" s="17"/>
      <c r="B424" s="17"/>
      <c r="D424" s="18"/>
      <c r="E424" s="18"/>
      <c r="F424" s="18"/>
      <c r="G424" s="18"/>
      <c r="H424" s="58"/>
      <c r="I424" s="21"/>
      <c r="J424" s="22"/>
    </row>
    <row r="425" spans="1:10" ht="13.2" x14ac:dyDescent="0.25">
      <c r="A425" s="17"/>
      <c r="B425" s="17"/>
      <c r="D425" s="18"/>
      <c r="E425" s="18"/>
      <c r="F425" s="18"/>
      <c r="G425" s="18"/>
      <c r="H425" s="58"/>
      <c r="I425" s="21"/>
      <c r="J425" s="22"/>
    </row>
    <row r="426" spans="1:10" ht="13.2" x14ac:dyDescent="0.25">
      <c r="A426" s="17"/>
      <c r="B426" s="17"/>
      <c r="D426" s="18"/>
      <c r="E426" s="18"/>
      <c r="F426" s="18"/>
      <c r="G426" s="18"/>
      <c r="H426" s="58"/>
      <c r="I426" s="21"/>
      <c r="J426" s="22"/>
    </row>
    <row r="427" spans="1:10" ht="13.2" x14ac:dyDescent="0.25">
      <c r="A427" s="17"/>
      <c r="B427" s="17"/>
      <c r="D427" s="18"/>
      <c r="E427" s="18"/>
      <c r="F427" s="18"/>
      <c r="G427" s="18"/>
      <c r="H427" s="58"/>
      <c r="I427" s="21"/>
      <c r="J427" s="22"/>
    </row>
    <row r="428" spans="1:10" ht="13.2" x14ac:dyDescent="0.25">
      <c r="A428" s="17"/>
      <c r="B428" s="17"/>
      <c r="D428" s="18"/>
      <c r="E428" s="18"/>
      <c r="F428" s="18"/>
      <c r="G428" s="18"/>
      <c r="H428" s="58"/>
      <c r="I428" s="21"/>
      <c r="J428" s="22"/>
    </row>
    <row r="429" spans="1:10" ht="13.2" x14ac:dyDescent="0.25">
      <c r="A429" s="17"/>
      <c r="B429" s="17"/>
      <c r="D429" s="18"/>
      <c r="E429" s="18"/>
      <c r="F429" s="18"/>
      <c r="G429" s="18"/>
      <c r="H429" s="58"/>
      <c r="I429" s="21"/>
      <c r="J429" s="22"/>
    </row>
    <row r="430" spans="1:10" ht="13.2" x14ac:dyDescent="0.25">
      <c r="A430" s="17"/>
      <c r="B430" s="17"/>
      <c r="D430" s="18"/>
      <c r="E430" s="18"/>
      <c r="F430" s="18"/>
      <c r="G430" s="18"/>
      <c r="H430" s="58"/>
      <c r="I430" s="21"/>
      <c r="J430" s="22"/>
    </row>
    <row r="431" spans="1:10" ht="13.2" x14ac:dyDescent="0.25">
      <c r="A431" s="17"/>
      <c r="B431" s="17"/>
      <c r="D431" s="18"/>
      <c r="E431" s="18"/>
      <c r="F431" s="18"/>
      <c r="G431" s="18"/>
      <c r="H431" s="58"/>
      <c r="I431" s="21"/>
      <c r="J431" s="22"/>
    </row>
    <row r="432" spans="1:10" ht="13.2" x14ac:dyDescent="0.25">
      <c r="A432" s="17"/>
      <c r="B432" s="17"/>
      <c r="D432" s="18"/>
      <c r="E432" s="18"/>
      <c r="F432" s="18"/>
      <c r="G432" s="18"/>
      <c r="H432" s="58"/>
      <c r="I432" s="21"/>
      <c r="J432" s="22"/>
    </row>
    <row r="433" spans="1:10" ht="13.2" x14ac:dyDescent="0.25">
      <c r="A433" s="17"/>
      <c r="B433" s="17"/>
      <c r="D433" s="18"/>
      <c r="E433" s="18"/>
      <c r="F433" s="18"/>
      <c r="G433" s="18"/>
      <c r="H433" s="58"/>
      <c r="I433" s="21"/>
      <c r="J433" s="22"/>
    </row>
    <row r="434" spans="1:10" ht="13.2" x14ac:dyDescent="0.25">
      <c r="A434" s="17"/>
      <c r="B434" s="17"/>
      <c r="D434" s="18"/>
      <c r="E434" s="18"/>
      <c r="F434" s="18"/>
      <c r="G434" s="18"/>
      <c r="H434" s="58"/>
      <c r="I434" s="21"/>
      <c r="J434" s="22"/>
    </row>
    <row r="435" spans="1:10" ht="13.2" x14ac:dyDescent="0.25">
      <c r="A435" s="17"/>
      <c r="B435" s="17"/>
      <c r="D435" s="18"/>
      <c r="E435" s="18"/>
      <c r="F435" s="18"/>
      <c r="G435" s="18"/>
      <c r="H435" s="58"/>
      <c r="I435" s="21"/>
      <c r="J435" s="22"/>
    </row>
    <row r="436" spans="1:10" ht="13.2" x14ac:dyDescent="0.25">
      <c r="A436" s="17"/>
      <c r="B436" s="17"/>
      <c r="D436" s="18"/>
      <c r="E436" s="18"/>
      <c r="F436" s="18"/>
      <c r="G436" s="18"/>
      <c r="H436" s="58"/>
      <c r="I436" s="21"/>
      <c r="J436" s="22"/>
    </row>
    <row r="437" spans="1:10" ht="13.2" x14ac:dyDescent="0.25">
      <c r="A437" s="17"/>
      <c r="B437" s="17"/>
      <c r="D437" s="18"/>
      <c r="E437" s="18"/>
      <c r="F437" s="18"/>
      <c r="G437" s="18"/>
      <c r="H437" s="58"/>
      <c r="I437" s="21"/>
      <c r="J437" s="22"/>
    </row>
    <row r="438" spans="1:10" ht="13.2" x14ac:dyDescent="0.25">
      <c r="A438" s="17"/>
      <c r="B438" s="17"/>
      <c r="D438" s="18"/>
      <c r="E438" s="18"/>
      <c r="F438" s="18"/>
      <c r="G438" s="18"/>
      <c r="H438" s="58"/>
      <c r="I438" s="21"/>
      <c r="J438" s="22"/>
    </row>
    <row r="439" spans="1:10" ht="13.2" x14ac:dyDescent="0.25">
      <c r="A439" s="17"/>
      <c r="B439" s="17"/>
      <c r="D439" s="18"/>
      <c r="E439" s="18"/>
      <c r="F439" s="18"/>
      <c r="G439" s="18"/>
      <c r="H439" s="58"/>
      <c r="I439" s="21"/>
      <c r="J439" s="22"/>
    </row>
    <row r="440" spans="1:10" ht="13.2" x14ac:dyDescent="0.25">
      <c r="A440" s="17"/>
      <c r="B440" s="17"/>
      <c r="D440" s="18"/>
      <c r="E440" s="18"/>
      <c r="F440" s="18"/>
      <c r="G440" s="18"/>
      <c r="H440" s="58"/>
      <c r="I440" s="21"/>
      <c r="J440" s="22"/>
    </row>
    <row r="441" spans="1:10" ht="13.2" x14ac:dyDescent="0.25">
      <c r="A441" s="17"/>
      <c r="B441" s="17"/>
      <c r="D441" s="18"/>
      <c r="E441" s="18"/>
      <c r="F441" s="18"/>
      <c r="G441" s="18"/>
      <c r="H441" s="58"/>
      <c r="I441" s="21"/>
      <c r="J441" s="22"/>
    </row>
    <row r="442" spans="1:10" ht="13.2" x14ac:dyDescent="0.25">
      <c r="A442" s="17"/>
      <c r="B442" s="17"/>
      <c r="D442" s="18"/>
      <c r="E442" s="18"/>
      <c r="F442" s="18"/>
      <c r="G442" s="18"/>
      <c r="H442" s="58"/>
      <c r="I442" s="21"/>
      <c r="J442" s="22"/>
    </row>
    <row r="443" spans="1:10" ht="13.2" x14ac:dyDescent="0.25">
      <c r="A443" s="17"/>
      <c r="B443" s="17"/>
      <c r="D443" s="18"/>
      <c r="E443" s="18"/>
      <c r="F443" s="18"/>
      <c r="G443" s="18"/>
      <c r="H443" s="58"/>
      <c r="I443" s="21"/>
      <c r="J443" s="22"/>
    </row>
    <row r="444" spans="1:10" ht="13.2" x14ac:dyDescent="0.25">
      <c r="A444" s="17"/>
      <c r="B444" s="17"/>
      <c r="D444" s="18"/>
      <c r="E444" s="18"/>
      <c r="F444" s="18"/>
      <c r="G444" s="18"/>
      <c r="H444" s="58"/>
      <c r="I444" s="21"/>
      <c r="J444" s="22"/>
    </row>
    <row r="445" spans="1:10" ht="13.2" x14ac:dyDescent="0.25">
      <c r="A445" s="17"/>
      <c r="B445" s="17"/>
      <c r="D445" s="18"/>
      <c r="E445" s="18"/>
      <c r="F445" s="18"/>
      <c r="G445" s="18"/>
      <c r="H445" s="58"/>
      <c r="I445" s="21"/>
      <c r="J445" s="22"/>
    </row>
    <row r="446" spans="1:10" ht="13.2" x14ac:dyDescent="0.25">
      <c r="A446" s="17"/>
      <c r="B446" s="17"/>
      <c r="D446" s="18"/>
      <c r="E446" s="18"/>
      <c r="F446" s="18"/>
      <c r="G446" s="18"/>
      <c r="H446" s="58"/>
      <c r="I446" s="21"/>
      <c r="J446" s="22"/>
    </row>
    <row r="447" spans="1:10" ht="13.2" x14ac:dyDescent="0.25">
      <c r="A447" s="17"/>
      <c r="B447" s="17"/>
      <c r="D447" s="18"/>
      <c r="E447" s="18"/>
      <c r="F447" s="18"/>
      <c r="G447" s="18"/>
      <c r="H447" s="58"/>
      <c r="I447" s="21"/>
      <c r="J447" s="22"/>
    </row>
    <row r="448" spans="1:10" ht="13.2" x14ac:dyDescent="0.25">
      <c r="A448" s="17"/>
      <c r="B448" s="17"/>
      <c r="D448" s="18"/>
      <c r="E448" s="18"/>
      <c r="F448" s="18"/>
      <c r="G448" s="18"/>
      <c r="H448" s="58"/>
      <c r="I448" s="21"/>
      <c r="J448" s="22"/>
    </row>
    <row r="449" spans="1:10" ht="13.2" x14ac:dyDescent="0.25">
      <c r="A449" s="17"/>
      <c r="B449" s="17"/>
      <c r="D449" s="18"/>
      <c r="E449" s="18"/>
      <c r="F449" s="18"/>
      <c r="G449" s="18"/>
      <c r="H449" s="58"/>
      <c r="I449" s="21"/>
      <c r="J449" s="22"/>
    </row>
    <row r="450" spans="1:10" ht="13.2" x14ac:dyDescent="0.25">
      <c r="A450" s="17"/>
      <c r="B450" s="17"/>
      <c r="D450" s="18"/>
      <c r="E450" s="18"/>
      <c r="F450" s="18"/>
      <c r="G450" s="18"/>
      <c r="H450" s="58"/>
      <c r="I450" s="21"/>
      <c r="J450" s="22"/>
    </row>
    <row r="451" spans="1:10" ht="13.2" x14ac:dyDescent="0.25">
      <c r="A451" s="17"/>
      <c r="B451" s="17"/>
      <c r="D451" s="18"/>
      <c r="E451" s="18"/>
      <c r="F451" s="18"/>
      <c r="G451" s="18"/>
      <c r="H451" s="58"/>
      <c r="I451" s="21"/>
      <c r="J451" s="22"/>
    </row>
    <row r="452" spans="1:10" ht="13.2" x14ac:dyDescent="0.25">
      <c r="A452" s="17"/>
      <c r="B452" s="17"/>
      <c r="D452" s="18"/>
      <c r="E452" s="18"/>
      <c r="F452" s="18"/>
      <c r="G452" s="18"/>
      <c r="H452" s="58"/>
      <c r="I452" s="21"/>
      <c r="J452" s="22"/>
    </row>
    <row r="453" spans="1:10" ht="13.2" x14ac:dyDescent="0.25">
      <c r="A453" s="17"/>
      <c r="B453" s="17"/>
      <c r="D453" s="18"/>
      <c r="E453" s="18"/>
      <c r="F453" s="18"/>
      <c r="G453" s="18"/>
      <c r="H453" s="58"/>
      <c r="I453" s="21"/>
      <c r="J453" s="22"/>
    </row>
    <row r="454" spans="1:10" ht="13.2" x14ac:dyDescent="0.25">
      <c r="A454" s="17"/>
      <c r="B454" s="17"/>
      <c r="D454" s="18"/>
      <c r="E454" s="18"/>
      <c r="F454" s="18"/>
      <c r="G454" s="18"/>
      <c r="H454" s="58"/>
      <c r="I454" s="21"/>
      <c r="J454" s="22"/>
    </row>
    <row r="455" spans="1:10" ht="13.2" x14ac:dyDescent="0.25">
      <c r="A455" s="17"/>
      <c r="B455" s="17"/>
      <c r="D455" s="18"/>
      <c r="E455" s="18"/>
      <c r="F455" s="18"/>
      <c r="G455" s="18"/>
      <c r="H455" s="58"/>
      <c r="I455" s="21"/>
      <c r="J455" s="22"/>
    </row>
    <row r="456" spans="1:10" ht="13.2" x14ac:dyDescent="0.25">
      <c r="A456" s="17"/>
      <c r="B456" s="17"/>
      <c r="D456" s="18"/>
      <c r="E456" s="18"/>
      <c r="F456" s="18"/>
      <c r="G456" s="18"/>
      <c r="H456" s="58"/>
      <c r="I456" s="21"/>
      <c r="J456" s="22"/>
    </row>
    <row r="457" spans="1:10" ht="13.2" x14ac:dyDescent="0.25">
      <c r="A457" s="17"/>
      <c r="B457" s="17"/>
      <c r="D457" s="18"/>
      <c r="E457" s="18"/>
      <c r="F457" s="18"/>
      <c r="G457" s="18"/>
      <c r="H457" s="58"/>
      <c r="I457" s="21"/>
      <c r="J457" s="22"/>
    </row>
    <row r="458" spans="1:10" ht="13.2" x14ac:dyDescent="0.25">
      <c r="A458" s="17"/>
      <c r="B458" s="17"/>
      <c r="D458" s="18"/>
      <c r="E458" s="18"/>
      <c r="F458" s="18"/>
      <c r="G458" s="18"/>
      <c r="H458" s="58"/>
      <c r="I458" s="21"/>
      <c r="J458" s="22"/>
    </row>
    <row r="459" spans="1:10" ht="13.2" x14ac:dyDescent="0.25">
      <c r="A459" s="17"/>
      <c r="B459" s="17"/>
      <c r="D459" s="18"/>
      <c r="E459" s="18"/>
      <c r="F459" s="18"/>
      <c r="G459" s="18"/>
      <c r="H459" s="58"/>
      <c r="I459" s="21"/>
      <c r="J459" s="22"/>
    </row>
    <row r="460" spans="1:10" ht="13.2" x14ac:dyDescent="0.25">
      <c r="A460" s="17"/>
      <c r="B460" s="17"/>
      <c r="D460" s="18"/>
      <c r="E460" s="18"/>
      <c r="F460" s="18"/>
      <c r="G460" s="18"/>
      <c r="H460" s="58"/>
      <c r="I460" s="21"/>
      <c r="J460" s="22"/>
    </row>
    <row r="461" spans="1:10" ht="13.2" x14ac:dyDescent="0.25">
      <c r="A461" s="17"/>
      <c r="B461" s="17"/>
      <c r="D461" s="18"/>
      <c r="E461" s="18"/>
      <c r="F461" s="18"/>
      <c r="G461" s="18"/>
      <c r="H461" s="58"/>
      <c r="I461" s="21"/>
      <c r="J461" s="22"/>
    </row>
    <row r="462" spans="1:10" ht="13.2" x14ac:dyDescent="0.25">
      <c r="A462" s="17"/>
      <c r="B462" s="17"/>
      <c r="D462" s="18"/>
      <c r="E462" s="18"/>
      <c r="F462" s="18"/>
      <c r="G462" s="18"/>
      <c r="H462" s="58"/>
      <c r="I462" s="21"/>
      <c r="J462" s="22"/>
    </row>
    <row r="463" spans="1:10" ht="13.2" x14ac:dyDescent="0.25">
      <c r="A463" s="17"/>
      <c r="B463" s="17"/>
      <c r="D463" s="18"/>
      <c r="E463" s="18"/>
      <c r="F463" s="18"/>
      <c r="G463" s="18"/>
      <c r="H463" s="58"/>
      <c r="I463" s="21"/>
      <c r="J463" s="22"/>
    </row>
    <row r="464" spans="1:10" ht="13.2" x14ac:dyDescent="0.25">
      <c r="A464" s="17"/>
      <c r="B464" s="17"/>
      <c r="D464" s="18"/>
      <c r="E464" s="18"/>
      <c r="F464" s="18"/>
      <c r="G464" s="18"/>
      <c r="H464" s="58"/>
      <c r="I464" s="21"/>
      <c r="J464" s="22"/>
    </row>
    <row r="465" spans="1:10" ht="13.2" x14ac:dyDescent="0.25">
      <c r="A465" s="17"/>
      <c r="B465" s="17"/>
      <c r="D465" s="18"/>
      <c r="E465" s="18"/>
      <c r="F465" s="18"/>
      <c r="G465" s="18"/>
      <c r="H465" s="58"/>
      <c r="I465" s="21"/>
      <c r="J465" s="22"/>
    </row>
    <row r="466" spans="1:10" ht="13.2" x14ac:dyDescent="0.25">
      <c r="A466" s="17"/>
      <c r="B466" s="17"/>
      <c r="D466" s="18"/>
      <c r="E466" s="18"/>
      <c r="F466" s="18"/>
      <c r="G466" s="18"/>
      <c r="H466" s="58"/>
      <c r="I466" s="21"/>
      <c r="J466" s="22"/>
    </row>
    <row r="467" spans="1:10" ht="13.2" x14ac:dyDescent="0.25">
      <c r="A467" s="17"/>
      <c r="B467" s="17"/>
      <c r="D467" s="18"/>
      <c r="E467" s="18"/>
      <c r="F467" s="18"/>
      <c r="G467" s="18"/>
      <c r="H467" s="58"/>
      <c r="I467" s="21"/>
      <c r="J467" s="22"/>
    </row>
    <row r="468" spans="1:10" ht="13.2" x14ac:dyDescent="0.25">
      <c r="A468" s="17"/>
      <c r="B468" s="17"/>
      <c r="D468" s="18"/>
      <c r="E468" s="18"/>
      <c r="F468" s="18"/>
      <c r="G468" s="18"/>
      <c r="H468" s="58"/>
      <c r="I468" s="21"/>
      <c r="J468" s="22"/>
    </row>
    <row r="469" spans="1:10" ht="13.2" x14ac:dyDescent="0.25">
      <c r="A469" s="17"/>
      <c r="B469" s="17"/>
      <c r="D469" s="18"/>
      <c r="E469" s="18"/>
      <c r="F469" s="18"/>
      <c r="G469" s="18"/>
      <c r="H469" s="58"/>
      <c r="I469" s="21"/>
      <c r="J469" s="22"/>
    </row>
    <row r="470" spans="1:10" ht="13.2" x14ac:dyDescent="0.25">
      <c r="A470" s="17"/>
      <c r="B470" s="17"/>
      <c r="D470" s="18"/>
      <c r="E470" s="18"/>
      <c r="F470" s="18"/>
      <c r="G470" s="18"/>
      <c r="H470" s="58"/>
      <c r="I470" s="21"/>
      <c r="J470" s="22"/>
    </row>
    <row r="471" spans="1:10" ht="13.2" x14ac:dyDescent="0.25">
      <c r="A471" s="17"/>
      <c r="B471" s="17"/>
      <c r="D471" s="18"/>
      <c r="E471" s="18"/>
      <c r="F471" s="18"/>
      <c r="G471" s="18"/>
      <c r="H471" s="58"/>
      <c r="I471" s="21"/>
      <c r="J471" s="22"/>
    </row>
    <row r="472" spans="1:10" ht="13.2" x14ac:dyDescent="0.25">
      <c r="A472" s="17"/>
      <c r="B472" s="17"/>
      <c r="D472" s="18"/>
      <c r="E472" s="18"/>
      <c r="F472" s="18"/>
      <c r="G472" s="18"/>
      <c r="H472" s="58"/>
      <c r="I472" s="21"/>
      <c r="J472" s="22"/>
    </row>
    <row r="473" spans="1:10" ht="13.2" x14ac:dyDescent="0.25">
      <c r="A473" s="17"/>
      <c r="B473" s="17"/>
      <c r="D473" s="18"/>
      <c r="E473" s="18"/>
      <c r="F473" s="18"/>
      <c r="G473" s="18"/>
      <c r="H473" s="58"/>
      <c r="I473" s="21"/>
      <c r="J473" s="22"/>
    </row>
    <row r="474" spans="1:10" ht="13.2" x14ac:dyDescent="0.25">
      <c r="A474" s="17"/>
      <c r="B474" s="17"/>
      <c r="D474" s="18"/>
      <c r="E474" s="18"/>
      <c r="F474" s="18"/>
      <c r="G474" s="18"/>
      <c r="H474" s="58"/>
      <c r="I474" s="21"/>
      <c r="J474" s="22"/>
    </row>
    <row r="475" spans="1:10" ht="13.2" x14ac:dyDescent="0.25">
      <c r="A475" s="17"/>
      <c r="B475" s="17"/>
      <c r="D475" s="18"/>
      <c r="E475" s="18"/>
      <c r="F475" s="18"/>
      <c r="G475" s="18"/>
      <c r="H475" s="58"/>
      <c r="I475" s="21"/>
      <c r="J475" s="22"/>
    </row>
    <row r="476" spans="1:10" ht="13.2" x14ac:dyDescent="0.25">
      <c r="A476" s="17"/>
      <c r="B476" s="17"/>
      <c r="D476" s="18"/>
      <c r="E476" s="18"/>
      <c r="F476" s="18"/>
      <c r="G476" s="18"/>
      <c r="H476" s="58"/>
      <c r="I476" s="21"/>
      <c r="J476" s="22"/>
    </row>
    <row r="477" spans="1:10" ht="13.2" x14ac:dyDescent="0.25">
      <c r="A477" s="17"/>
      <c r="B477" s="17"/>
      <c r="D477" s="18"/>
      <c r="E477" s="18"/>
      <c r="F477" s="18"/>
      <c r="G477" s="18"/>
      <c r="H477" s="58"/>
      <c r="I477" s="21"/>
      <c r="J477" s="22"/>
    </row>
    <row r="478" spans="1:10" ht="13.2" x14ac:dyDescent="0.25">
      <c r="A478" s="17"/>
      <c r="B478" s="17"/>
      <c r="D478" s="18"/>
      <c r="E478" s="18"/>
      <c r="F478" s="18"/>
      <c r="G478" s="18"/>
      <c r="H478" s="58"/>
      <c r="I478" s="21"/>
      <c r="J478" s="22"/>
    </row>
    <row r="479" spans="1:10" ht="13.2" x14ac:dyDescent="0.25">
      <c r="A479" s="17"/>
      <c r="B479" s="17"/>
      <c r="D479" s="18"/>
      <c r="E479" s="18"/>
      <c r="F479" s="18"/>
      <c r="G479" s="18"/>
      <c r="H479" s="58"/>
      <c r="I479" s="21"/>
      <c r="J479" s="22"/>
    </row>
    <row r="480" spans="1:10" ht="13.2" x14ac:dyDescent="0.25">
      <c r="A480" s="17"/>
      <c r="B480" s="17"/>
      <c r="D480" s="18"/>
      <c r="E480" s="18"/>
      <c r="F480" s="18"/>
      <c r="G480" s="18"/>
      <c r="H480" s="58"/>
      <c r="I480" s="21"/>
      <c r="J480" s="22"/>
    </row>
    <row r="481" spans="1:10" ht="13.2" x14ac:dyDescent="0.25">
      <c r="A481" s="17"/>
      <c r="B481" s="17"/>
      <c r="D481" s="18"/>
      <c r="E481" s="18"/>
      <c r="F481" s="18"/>
      <c r="G481" s="18"/>
      <c r="H481" s="58"/>
      <c r="I481" s="21"/>
      <c r="J481" s="22"/>
    </row>
    <row r="482" spans="1:10" ht="13.2" x14ac:dyDescent="0.25">
      <c r="A482" s="17"/>
      <c r="B482" s="17"/>
      <c r="D482" s="18"/>
      <c r="E482" s="18"/>
      <c r="F482" s="18"/>
      <c r="G482" s="18"/>
      <c r="H482" s="58"/>
      <c r="I482" s="21"/>
      <c r="J482" s="22"/>
    </row>
    <row r="483" spans="1:10" ht="13.2" x14ac:dyDescent="0.25">
      <c r="A483" s="17"/>
      <c r="B483" s="17"/>
      <c r="D483" s="18"/>
      <c r="E483" s="18"/>
      <c r="F483" s="18"/>
      <c r="G483" s="18"/>
      <c r="H483" s="58"/>
      <c r="I483" s="21"/>
      <c r="J483" s="22"/>
    </row>
    <row r="484" spans="1:10" ht="13.2" x14ac:dyDescent="0.25">
      <c r="A484" s="17"/>
      <c r="B484" s="17"/>
      <c r="D484" s="18"/>
      <c r="E484" s="18"/>
      <c r="F484" s="18"/>
      <c r="G484" s="18"/>
      <c r="H484" s="58"/>
      <c r="I484" s="21"/>
      <c r="J484" s="22"/>
    </row>
    <row r="485" spans="1:10" ht="13.2" x14ac:dyDescent="0.25">
      <c r="A485" s="17"/>
      <c r="B485" s="17"/>
      <c r="D485" s="18"/>
      <c r="E485" s="18"/>
      <c r="F485" s="18"/>
      <c r="G485" s="18"/>
      <c r="H485" s="58"/>
      <c r="I485" s="21"/>
      <c r="J485" s="22"/>
    </row>
    <row r="486" spans="1:10" ht="13.2" x14ac:dyDescent="0.25">
      <c r="A486" s="17"/>
      <c r="B486" s="17"/>
      <c r="D486" s="18"/>
      <c r="E486" s="18"/>
      <c r="F486" s="18"/>
      <c r="G486" s="18"/>
      <c r="H486" s="58"/>
      <c r="I486" s="21"/>
      <c r="J486" s="22"/>
    </row>
    <row r="487" spans="1:10" ht="13.2" x14ac:dyDescent="0.25">
      <c r="A487" s="17"/>
      <c r="B487" s="17"/>
      <c r="D487" s="18"/>
      <c r="E487" s="18"/>
      <c r="F487" s="18"/>
      <c r="G487" s="18"/>
      <c r="H487" s="58"/>
      <c r="I487" s="21"/>
      <c r="J487" s="22"/>
    </row>
    <row r="488" spans="1:10" ht="13.2" x14ac:dyDescent="0.25">
      <c r="A488" s="17"/>
      <c r="B488" s="17"/>
      <c r="D488" s="18"/>
      <c r="E488" s="18"/>
      <c r="F488" s="18"/>
      <c r="G488" s="18"/>
      <c r="H488" s="58"/>
      <c r="I488" s="21"/>
      <c r="J488" s="22"/>
    </row>
    <row r="489" spans="1:10" ht="13.2" x14ac:dyDescent="0.25">
      <c r="A489" s="17"/>
      <c r="B489" s="17"/>
      <c r="D489" s="18"/>
      <c r="E489" s="18"/>
      <c r="F489" s="18"/>
      <c r="G489" s="18"/>
      <c r="H489" s="58"/>
      <c r="I489" s="21"/>
      <c r="J489" s="22"/>
    </row>
    <row r="490" spans="1:10" ht="13.2" x14ac:dyDescent="0.25">
      <c r="A490" s="17"/>
      <c r="B490" s="17"/>
      <c r="D490" s="18"/>
      <c r="E490" s="18"/>
      <c r="F490" s="18"/>
      <c r="G490" s="18"/>
      <c r="H490" s="58"/>
      <c r="I490" s="21"/>
      <c r="J490" s="22"/>
    </row>
    <row r="491" spans="1:10" ht="13.2" x14ac:dyDescent="0.25">
      <c r="A491" s="17"/>
      <c r="B491" s="17"/>
      <c r="D491" s="18"/>
      <c r="E491" s="18"/>
      <c r="F491" s="18"/>
      <c r="G491" s="18"/>
      <c r="H491" s="58"/>
      <c r="I491" s="21"/>
      <c r="J491" s="22"/>
    </row>
    <row r="492" spans="1:10" ht="13.2" x14ac:dyDescent="0.25">
      <c r="A492" s="17"/>
      <c r="B492" s="17"/>
      <c r="D492" s="18"/>
      <c r="E492" s="18"/>
      <c r="F492" s="18"/>
      <c r="G492" s="18"/>
      <c r="H492" s="58"/>
      <c r="I492" s="21"/>
      <c r="J492" s="22"/>
    </row>
    <row r="493" spans="1:10" ht="13.2" x14ac:dyDescent="0.25">
      <c r="A493" s="17"/>
      <c r="B493" s="17"/>
      <c r="D493" s="18"/>
      <c r="E493" s="18"/>
      <c r="F493" s="18"/>
      <c r="G493" s="18"/>
      <c r="H493" s="58"/>
      <c r="I493" s="21"/>
      <c r="J493" s="22"/>
    </row>
    <row r="494" spans="1:10" ht="13.2" x14ac:dyDescent="0.25">
      <c r="A494" s="17"/>
      <c r="B494" s="17"/>
      <c r="D494" s="18"/>
      <c r="E494" s="18"/>
      <c r="F494" s="18"/>
      <c r="G494" s="18"/>
      <c r="H494" s="58"/>
      <c r="I494" s="21"/>
      <c r="J494" s="22"/>
    </row>
    <row r="495" spans="1:10" ht="13.2" x14ac:dyDescent="0.25">
      <c r="A495" s="17"/>
      <c r="B495" s="17"/>
      <c r="D495" s="18"/>
      <c r="E495" s="18"/>
      <c r="F495" s="18"/>
      <c r="G495" s="18"/>
      <c r="H495" s="58"/>
      <c r="I495" s="21"/>
      <c r="J495" s="22"/>
    </row>
    <row r="496" spans="1:10" ht="13.2" x14ac:dyDescent="0.25">
      <c r="A496" s="17"/>
      <c r="B496" s="17"/>
      <c r="D496" s="18"/>
      <c r="E496" s="18"/>
      <c r="F496" s="18"/>
      <c r="G496" s="18"/>
      <c r="H496" s="58"/>
      <c r="I496" s="21"/>
      <c r="J496" s="22"/>
    </row>
    <row r="497" spans="1:10" ht="13.2" x14ac:dyDescent="0.25">
      <c r="A497" s="17"/>
      <c r="B497" s="17"/>
      <c r="D497" s="18"/>
      <c r="E497" s="18"/>
      <c r="F497" s="18"/>
      <c r="G497" s="18"/>
      <c r="H497" s="58"/>
      <c r="I497" s="21"/>
      <c r="J497" s="22"/>
    </row>
    <row r="498" spans="1:10" ht="13.2" x14ac:dyDescent="0.25">
      <c r="A498" s="17"/>
      <c r="B498" s="17"/>
      <c r="D498" s="18"/>
      <c r="E498" s="18"/>
      <c r="F498" s="18"/>
      <c r="G498" s="18"/>
      <c r="H498" s="58"/>
      <c r="I498" s="21"/>
      <c r="J498" s="22"/>
    </row>
    <row r="499" spans="1:10" ht="13.2" x14ac:dyDescent="0.25">
      <c r="A499" s="17"/>
      <c r="B499" s="17"/>
      <c r="D499" s="18"/>
      <c r="E499" s="18"/>
      <c r="F499" s="18"/>
      <c r="G499" s="18"/>
      <c r="H499" s="58"/>
      <c r="I499" s="21"/>
      <c r="J499" s="22"/>
    </row>
    <row r="500" spans="1:10" ht="13.2" x14ac:dyDescent="0.25">
      <c r="A500" s="17"/>
      <c r="B500" s="17"/>
      <c r="D500" s="18"/>
      <c r="E500" s="18"/>
      <c r="F500" s="18"/>
      <c r="G500" s="18"/>
      <c r="H500" s="58"/>
      <c r="I500" s="21"/>
      <c r="J500" s="22"/>
    </row>
    <row r="501" spans="1:10" ht="13.2" x14ac:dyDescent="0.25">
      <c r="A501" s="17"/>
      <c r="B501" s="17"/>
      <c r="D501" s="18"/>
      <c r="E501" s="18"/>
      <c r="F501" s="18"/>
      <c r="G501" s="18"/>
      <c r="H501" s="58"/>
      <c r="I501" s="21"/>
      <c r="J501" s="22"/>
    </row>
    <row r="502" spans="1:10" ht="13.2" x14ac:dyDescent="0.25">
      <c r="A502" s="17"/>
      <c r="B502" s="17"/>
      <c r="D502" s="18"/>
      <c r="E502" s="18"/>
      <c r="F502" s="18"/>
      <c r="G502" s="18"/>
      <c r="H502" s="58"/>
      <c r="I502" s="21"/>
      <c r="J502" s="22"/>
    </row>
    <row r="503" spans="1:10" ht="13.2" x14ac:dyDescent="0.25">
      <c r="A503" s="17"/>
      <c r="B503" s="17"/>
      <c r="D503" s="18"/>
      <c r="E503" s="18"/>
      <c r="F503" s="18"/>
      <c r="G503" s="18"/>
      <c r="H503" s="58"/>
      <c r="I503" s="21"/>
      <c r="J503" s="22"/>
    </row>
    <row r="504" spans="1:10" ht="13.2" x14ac:dyDescent="0.25">
      <c r="A504" s="17"/>
      <c r="B504" s="17"/>
      <c r="D504" s="18"/>
      <c r="E504" s="18"/>
      <c r="F504" s="18"/>
      <c r="G504" s="18"/>
      <c r="H504" s="58"/>
      <c r="I504" s="21"/>
      <c r="J504" s="22"/>
    </row>
    <row r="505" spans="1:10" ht="13.2" x14ac:dyDescent="0.25">
      <c r="A505" s="17"/>
      <c r="B505" s="17"/>
      <c r="D505" s="18"/>
      <c r="E505" s="18"/>
      <c r="F505" s="18"/>
      <c r="G505" s="18"/>
      <c r="H505" s="58"/>
      <c r="I505" s="21"/>
      <c r="J505" s="22"/>
    </row>
    <row r="506" spans="1:10" ht="13.2" x14ac:dyDescent="0.25">
      <c r="A506" s="17"/>
      <c r="B506" s="17"/>
      <c r="D506" s="18"/>
      <c r="E506" s="18"/>
      <c r="F506" s="18"/>
      <c r="G506" s="18"/>
      <c r="H506" s="58"/>
      <c r="I506" s="21"/>
      <c r="J506" s="22"/>
    </row>
    <row r="507" spans="1:10" ht="13.2" x14ac:dyDescent="0.25">
      <c r="A507" s="17"/>
      <c r="B507" s="17"/>
      <c r="D507" s="18"/>
      <c r="E507" s="18"/>
      <c r="F507" s="18"/>
      <c r="G507" s="18"/>
      <c r="H507" s="58"/>
      <c r="I507" s="21"/>
      <c r="J507" s="22"/>
    </row>
    <row r="508" spans="1:10" ht="13.2" x14ac:dyDescent="0.25">
      <c r="A508" s="17"/>
      <c r="B508" s="17"/>
      <c r="D508" s="18"/>
      <c r="E508" s="18"/>
      <c r="F508" s="18"/>
      <c r="G508" s="18"/>
      <c r="H508" s="58"/>
      <c r="I508" s="21"/>
      <c r="J508" s="22"/>
    </row>
    <row r="509" spans="1:10" ht="13.2" x14ac:dyDescent="0.25">
      <c r="A509" s="17"/>
      <c r="B509" s="17"/>
      <c r="D509" s="18"/>
      <c r="E509" s="18"/>
      <c r="F509" s="18"/>
      <c r="G509" s="18"/>
      <c r="H509" s="58"/>
      <c r="I509" s="21"/>
      <c r="J509" s="22"/>
    </row>
    <row r="510" spans="1:10" ht="13.2" x14ac:dyDescent="0.25">
      <c r="A510" s="17"/>
      <c r="B510" s="17"/>
      <c r="D510" s="18"/>
      <c r="E510" s="18"/>
      <c r="F510" s="18"/>
      <c r="G510" s="18"/>
      <c r="H510" s="58"/>
      <c r="I510" s="21"/>
      <c r="J510" s="22"/>
    </row>
    <row r="511" spans="1:10" ht="13.2" x14ac:dyDescent="0.25">
      <c r="A511" s="17"/>
      <c r="B511" s="17"/>
      <c r="D511" s="18"/>
      <c r="E511" s="18"/>
      <c r="F511" s="18"/>
      <c r="G511" s="18"/>
      <c r="H511" s="58"/>
      <c r="I511" s="21"/>
      <c r="J511" s="22"/>
    </row>
    <row r="512" spans="1:10" ht="13.2" x14ac:dyDescent="0.25">
      <c r="A512" s="17"/>
      <c r="B512" s="17"/>
      <c r="D512" s="18"/>
      <c r="E512" s="18"/>
      <c r="F512" s="18"/>
      <c r="G512" s="18"/>
      <c r="H512" s="58"/>
      <c r="I512" s="21"/>
      <c r="J512" s="22"/>
    </row>
    <row r="513" spans="1:10" ht="13.2" x14ac:dyDescent="0.25">
      <c r="A513" s="17"/>
      <c r="B513" s="17"/>
      <c r="D513" s="18"/>
      <c r="E513" s="18"/>
      <c r="F513" s="18"/>
      <c r="G513" s="18"/>
      <c r="H513" s="58"/>
      <c r="I513" s="21"/>
      <c r="J513" s="22"/>
    </row>
    <row r="514" spans="1:10" ht="13.2" x14ac:dyDescent="0.25">
      <c r="A514" s="17"/>
      <c r="B514" s="17"/>
      <c r="D514" s="18"/>
      <c r="E514" s="18"/>
      <c r="F514" s="18"/>
      <c r="G514" s="18"/>
      <c r="H514" s="58"/>
      <c r="I514" s="21"/>
      <c r="J514" s="22"/>
    </row>
    <row r="515" spans="1:10" ht="13.2" x14ac:dyDescent="0.25">
      <c r="A515" s="17"/>
      <c r="B515" s="17"/>
      <c r="D515" s="18"/>
      <c r="E515" s="18"/>
      <c r="F515" s="18"/>
      <c r="G515" s="18"/>
      <c r="H515" s="58"/>
      <c r="I515" s="21"/>
      <c r="J515" s="22"/>
    </row>
    <row r="516" spans="1:10" ht="13.2" x14ac:dyDescent="0.25">
      <c r="A516" s="17"/>
      <c r="B516" s="17"/>
      <c r="D516" s="18"/>
      <c r="E516" s="18"/>
      <c r="F516" s="18"/>
      <c r="G516" s="18"/>
      <c r="H516" s="58"/>
      <c r="I516" s="21"/>
      <c r="J516" s="22"/>
    </row>
    <row r="517" spans="1:10" ht="13.2" x14ac:dyDescent="0.25">
      <c r="A517" s="17"/>
      <c r="B517" s="17"/>
      <c r="D517" s="18"/>
      <c r="E517" s="18"/>
      <c r="F517" s="18"/>
      <c r="G517" s="18"/>
      <c r="H517" s="58"/>
      <c r="I517" s="21"/>
      <c r="J517" s="22"/>
    </row>
    <row r="518" spans="1:10" ht="13.2" x14ac:dyDescent="0.25">
      <c r="A518" s="17"/>
      <c r="B518" s="17"/>
      <c r="D518" s="18"/>
      <c r="E518" s="18"/>
      <c r="F518" s="18"/>
      <c r="G518" s="18"/>
      <c r="H518" s="58"/>
      <c r="I518" s="21"/>
      <c r="J518" s="22"/>
    </row>
    <row r="519" spans="1:10" ht="13.2" x14ac:dyDescent="0.25">
      <c r="A519" s="17"/>
      <c r="B519" s="17"/>
      <c r="D519" s="18"/>
      <c r="E519" s="18"/>
      <c r="F519" s="18"/>
      <c r="G519" s="18"/>
      <c r="H519" s="58"/>
      <c r="I519" s="21"/>
      <c r="J519" s="22"/>
    </row>
    <row r="520" spans="1:10" ht="13.2" x14ac:dyDescent="0.25">
      <c r="A520" s="17"/>
      <c r="B520" s="17"/>
      <c r="D520" s="18"/>
      <c r="E520" s="18"/>
      <c r="F520" s="18"/>
      <c r="G520" s="18"/>
      <c r="H520" s="58"/>
      <c r="I520" s="21"/>
      <c r="J520" s="22"/>
    </row>
    <row r="521" spans="1:10" ht="13.2" x14ac:dyDescent="0.25">
      <c r="A521" s="17"/>
      <c r="B521" s="17"/>
      <c r="D521" s="18"/>
      <c r="E521" s="18"/>
      <c r="F521" s="18"/>
      <c r="G521" s="18"/>
      <c r="H521" s="58"/>
      <c r="I521" s="21"/>
      <c r="J521" s="22"/>
    </row>
    <row r="522" spans="1:10" ht="13.2" x14ac:dyDescent="0.25">
      <c r="A522" s="17"/>
      <c r="B522" s="17"/>
      <c r="D522" s="18"/>
      <c r="E522" s="18"/>
      <c r="F522" s="18"/>
      <c r="G522" s="18"/>
      <c r="H522" s="58"/>
      <c r="I522" s="21"/>
      <c r="J522" s="22"/>
    </row>
    <row r="523" spans="1:10" ht="13.2" x14ac:dyDescent="0.25">
      <c r="A523" s="17"/>
      <c r="B523" s="17"/>
      <c r="D523" s="18"/>
      <c r="E523" s="18"/>
      <c r="F523" s="18"/>
      <c r="G523" s="18"/>
      <c r="H523" s="58"/>
      <c r="I523" s="21"/>
      <c r="J523" s="22"/>
    </row>
    <row r="524" spans="1:10" ht="13.2" x14ac:dyDescent="0.25">
      <c r="A524" s="17"/>
      <c r="B524" s="17"/>
      <c r="D524" s="18"/>
      <c r="E524" s="18"/>
      <c r="F524" s="18"/>
      <c r="G524" s="18"/>
      <c r="H524" s="58"/>
      <c r="I524" s="21"/>
      <c r="J524" s="22"/>
    </row>
    <row r="525" spans="1:10" ht="13.2" x14ac:dyDescent="0.25">
      <c r="A525" s="17"/>
      <c r="B525" s="17"/>
      <c r="D525" s="18"/>
      <c r="E525" s="18"/>
      <c r="F525" s="18"/>
      <c r="G525" s="18"/>
      <c r="H525" s="58"/>
      <c r="I525" s="21"/>
      <c r="J525" s="22"/>
    </row>
    <row r="526" spans="1:10" ht="13.2" x14ac:dyDescent="0.25">
      <c r="A526" s="17"/>
      <c r="B526" s="17"/>
      <c r="D526" s="18"/>
      <c r="E526" s="18"/>
      <c r="F526" s="18"/>
      <c r="G526" s="18"/>
      <c r="H526" s="58"/>
      <c r="I526" s="21"/>
      <c r="J526" s="22"/>
    </row>
    <row r="527" spans="1:10" ht="13.2" x14ac:dyDescent="0.25">
      <c r="A527" s="17"/>
      <c r="B527" s="17"/>
      <c r="D527" s="18"/>
      <c r="E527" s="18"/>
      <c r="F527" s="18"/>
      <c r="G527" s="18"/>
      <c r="H527" s="58"/>
      <c r="I527" s="21"/>
      <c r="J527" s="22"/>
    </row>
    <row r="528" spans="1:10" ht="13.2" x14ac:dyDescent="0.25">
      <c r="A528" s="17"/>
      <c r="B528" s="17"/>
      <c r="D528" s="18"/>
      <c r="E528" s="18"/>
      <c r="F528" s="18"/>
      <c r="G528" s="18"/>
      <c r="H528" s="58"/>
      <c r="I528" s="21"/>
      <c r="J528" s="22"/>
    </row>
    <row r="529" spans="1:10" ht="13.2" x14ac:dyDescent="0.25">
      <c r="A529" s="17"/>
      <c r="B529" s="17"/>
      <c r="D529" s="18"/>
      <c r="E529" s="18"/>
      <c r="F529" s="18"/>
      <c r="G529" s="18"/>
      <c r="H529" s="58"/>
      <c r="I529" s="21"/>
      <c r="J529" s="22"/>
    </row>
    <row r="530" spans="1:10" ht="13.2" x14ac:dyDescent="0.25">
      <c r="A530" s="17"/>
      <c r="B530" s="17"/>
      <c r="D530" s="18"/>
      <c r="E530" s="18"/>
      <c r="F530" s="18"/>
      <c r="G530" s="18"/>
      <c r="H530" s="58"/>
      <c r="I530" s="21"/>
      <c r="J530" s="22"/>
    </row>
    <row r="531" spans="1:10" ht="13.2" x14ac:dyDescent="0.25">
      <c r="A531" s="17"/>
      <c r="B531" s="17"/>
      <c r="D531" s="18"/>
      <c r="E531" s="18"/>
      <c r="F531" s="18"/>
      <c r="G531" s="18"/>
      <c r="H531" s="58"/>
      <c r="I531" s="21"/>
      <c r="J531" s="22"/>
    </row>
    <row r="532" spans="1:10" ht="13.2" x14ac:dyDescent="0.25">
      <c r="A532" s="17"/>
      <c r="B532" s="17"/>
      <c r="D532" s="18"/>
      <c r="E532" s="18"/>
      <c r="F532" s="18"/>
      <c r="G532" s="18"/>
      <c r="H532" s="58"/>
      <c r="I532" s="21"/>
      <c r="J532" s="22"/>
    </row>
    <row r="533" spans="1:10" ht="13.2" x14ac:dyDescent="0.25">
      <c r="A533" s="17"/>
      <c r="B533" s="17"/>
      <c r="D533" s="18"/>
      <c r="E533" s="18"/>
      <c r="F533" s="18"/>
      <c r="G533" s="18"/>
      <c r="H533" s="58"/>
      <c r="I533" s="21"/>
      <c r="J533" s="22"/>
    </row>
    <row r="534" spans="1:10" ht="13.2" x14ac:dyDescent="0.25">
      <c r="A534" s="17"/>
      <c r="B534" s="17"/>
      <c r="D534" s="18"/>
      <c r="E534" s="18"/>
      <c r="F534" s="18"/>
      <c r="G534" s="18"/>
      <c r="H534" s="58"/>
      <c r="I534" s="21"/>
      <c r="J534" s="22"/>
    </row>
    <row r="535" spans="1:10" ht="13.2" x14ac:dyDescent="0.25">
      <c r="A535" s="17"/>
      <c r="B535" s="17"/>
      <c r="D535" s="18"/>
      <c r="E535" s="18"/>
      <c r="F535" s="18"/>
      <c r="G535" s="18"/>
      <c r="H535" s="58"/>
      <c r="I535" s="21"/>
      <c r="J535" s="22"/>
    </row>
    <row r="536" spans="1:10" ht="13.2" x14ac:dyDescent="0.25">
      <c r="A536" s="17"/>
      <c r="B536" s="17"/>
      <c r="D536" s="18"/>
      <c r="E536" s="18"/>
      <c r="F536" s="18"/>
      <c r="G536" s="18"/>
      <c r="H536" s="58"/>
      <c r="I536" s="21"/>
      <c r="J536" s="22"/>
    </row>
    <row r="537" spans="1:10" ht="13.2" x14ac:dyDescent="0.25">
      <c r="A537" s="17"/>
      <c r="B537" s="17"/>
      <c r="D537" s="18"/>
      <c r="E537" s="18"/>
      <c r="F537" s="18"/>
      <c r="G537" s="18"/>
      <c r="H537" s="58"/>
      <c r="I537" s="21"/>
      <c r="J537" s="22"/>
    </row>
    <row r="538" spans="1:10" ht="13.2" x14ac:dyDescent="0.25">
      <c r="A538" s="17"/>
      <c r="B538" s="17"/>
      <c r="D538" s="18"/>
      <c r="E538" s="18"/>
      <c r="F538" s="18"/>
      <c r="G538" s="18"/>
      <c r="H538" s="58"/>
      <c r="I538" s="21"/>
      <c r="J538" s="22"/>
    </row>
    <row r="539" spans="1:10" ht="13.2" x14ac:dyDescent="0.25">
      <c r="A539" s="17"/>
      <c r="B539" s="17"/>
      <c r="D539" s="18"/>
      <c r="E539" s="18"/>
      <c r="F539" s="18"/>
      <c r="G539" s="18"/>
      <c r="H539" s="58"/>
      <c r="I539" s="21"/>
      <c r="J539" s="22"/>
    </row>
    <row r="540" spans="1:10" ht="13.2" x14ac:dyDescent="0.25">
      <c r="A540" s="17"/>
      <c r="B540" s="17"/>
      <c r="D540" s="18"/>
      <c r="E540" s="18"/>
      <c r="F540" s="18"/>
      <c r="G540" s="18"/>
      <c r="H540" s="58"/>
      <c r="I540" s="21"/>
      <c r="J540" s="22"/>
    </row>
    <row r="541" spans="1:10" ht="13.2" x14ac:dyDescent="0.25">
      <c r="A541" s="17"/>
      <c r="B541" s="17"/>
      <c r="D541" s="18"/>
      <c r="E541" s="18"/>
      <c r="F541" s="18"/>
      <c r="G541" s="18"/>
      <c r="H541" s="58"/>
      <c r="I541" s="21"/>
      <c r="J541" s="22"/>
    </row>
    <row r="542" spans="1:10" ht="13.2" x14ac:dyDescent="0.25">
      <c r="A542" s="17"/>
      <c r="B542" s="17"/>
      <c r="D542" s="18"/>
      <c r="E542" s="18"/>
      <c r="F542" s="18"/>
      <c r="G542" s="18"/>
      <c r="H542" s="58"/>
      <c r="I542" s="21"/>
      <c r="J542" s="22"/>
    </row>
    <row r="543" spans="1:10" ht="13.2" x14ac:dyDescent="0.25">
      <c r="A543" s="17"/>
      <c r="B543" s="17"/>
      <c r="D543" s="18"/>
      <c r="E543" s="18"/>
      <c r="F543" s="18"/>
      <c r="G543" s="18"/>
      <c r="H543" s="58"/>
      <c r="I543" s="21"/>
      <c r="J543" s="22"/>
    </row>
    <row r="544" spans="1:10" ht="13.2" x14ac:dyDescent="0.25">
      <c r="A544" s="17"/>
      <c r="B544" s="17"/>
      <c r="D544" s="18"/>
      <c r="E544" s="18"/>
      <c r="F544" s="18"/>
      <c r="G544" s="18"/>
      <c r="H544" s="58"/>
      <c r="I544" s="21"/>
      <c r="J544" s="22"/>
    </row>
    <row r="545" spans="1:10" ht="13.2" x14ac:dyDescent="0.25">
      <c r="A545" s="17"/>
      <c r="B545" s="17"/>
      <c r="D545" s="18"/>
      <c r="E545" s="18"/>
      <c r="F545" s="18"/>
      <c r="G545" s="18"/>
      <c r="H545" s="58"/>
      <c r="I545" s="21"/>
      <c r="J545" s="22"/>
    </row>
    <row r="546" spans="1:10" ht="13.2" x14ac:dyDescent="0.25">
      <c r="A546" s="17"/>
      <c r="B546" s="17"/>
      <c r="D546" s="18"/>
      <c r="E546" s="18"/>
      <c r="F546" s="18"/>
      <c r="G546" s="18"/>
      <c r="H546" s="58"/>
      <c r="I546" s="21"/>
      <c r="J546" s="22"/>
    </row>
    <row r="547" spans="1:10" ht="13.2" x14ac:dyDescent="0.25">
      <c r="A547" s="17"/>
      <c r="B547" s="17"/>
      <c r="D547" s="18"/>
      <c r="E547" s="18"/>
      <c r="F547" s="18"/>
      <c r="G547" s="18"/>
      <c r="H547" s="58"/>
      <c r="I547" s="21"/>
      <c r="J547" s="22"/>
    </row>
    <row r="548" spans="1:10" ht="13.2" x14ac:dyDescent="0.25">
      <c r="A548" s="17"/>
      <c r="B548" s="17"/>
      <c r="D548" s="18"/>
      <c r="E548" s="18"/>
      <c r="F548" s="18"/>
      <c r="G548" s="18"/>
      <c r="H548" s="58"/>
      <c r="I548" s="21"/>
      <c r="J548" s="22"/>
    </row>
    <row r="549" spans="1:10" ht="13.2" x14ac:dyDescent="0.25">
      <c r="A549" s="17"/>
      <c r="B549" s="17"/>
      <c r="D549" s="18"/>
      <c r="E549" s="18"/>
      <c r="F549" s="18"/>
      <c r="G549" s="18"/>
      <c r="H549" s="58"/>
      <c r="I549" s="21"/>
      <c r="J549" s="22"/>
    </row>
    <row r="550" spans="1:10" ht="13.2" x14ac:dyDescent="0.25">
      <c r="A550" s="17"/>
      <c r="B550" s="17"/>
      <c r="D550" s="18"/>
      <c r="E550" s="18"/>
      <c r="F550" s="18"/>
      <c r="G550" s="18"/>
      <c r="H550" s="58"/>
      <c r="I550" s="21"/>
      <c r="J550" s="22"/>
    </row>
    <row r="551" spans="1:10" ht="13.2" x14ac:dyDescent="0.25">
      <c r="A551" s="17"/>
      <c r="B551" s="17"/>
      <c r="D551" s="18"/>
      <c r="E551" s="18"/>
      <c r="F551" s="18"/>
      <c r="G551" s="18"/>
      <c r="H551" s="58"/>
      <c r="I551" s="21"/>
      <c r="J551" s="22"/>
    </row>
    <row r="552" spans="1:10" ht="13.2" x14ac:dyDescent="0.25">
      <c r="A552" s="17"/>
      <c r="B552" s="17"/>
      <c r="D552" s="18"/>
      <c r="E552" s="18"/>
      <c r="F552" s="18"/>
      <c r="G552" s="18"/>
      <c r="H552" s="58"/>
      <c r="I552" s="21"/>
      <c r="J552" s="22"/>
    </row>
    <row r="553" spans="1:10" ht="13.2" x14ac:dyDescent="0.25">
      <c r="A553" s="17"/>
      <c r="B553" s="17"/>
      <c r="D553" s="18"/>
      <c r="E553" s="18"/>
      <c r="F553" s="18"/>
      <c r="G553" s="18"/>
      <c r="H553" s="58"/>
      <c r="I553" s="21"/>
      <c r="J553" s="22"/>
    </row>
    <row r="554" spans="1:10" ht="13.2" x14ac:dyDescent="0.25">
      <c r="A554" s="17"/>
      <c r="B554" s="17"/>
      <c r="D554" s="18"/>
      <c r="E554" s="18"/>
      <c r="F554" s="18"/>
      <c r="G554" s="18"/>
      <c r="H554" s="58"/>
      <c r="I554" s="21"/>
      <c r="J554" s="22"/>
    </row>
    <row r="555" spans="1:10" ht="13.2" x14ac:dyDescent="0.25">
      <c r="A555" s="17"/>
      <c r="B555" s="17"/>
      <c r="D555" s="18"/>
      <c r="E555" s="18"/>
      <c r="F555" s="18"/>
      <c r="G555" s="18"/>
      <c r="H555" s="58"/>
      <c r="I555" s="21"/>
      <c r="J555" s="22"/>
    </row>
    <row r="556" spans="1:10" ht="13.2" x14ac:dyDescent="0.25">
      <c r="A556" s="17"/>
      <c r="B556" s="17"/>
      <c r="D556" s="18"/>
      <c r="E556" s="18"/>
      <c r="F556" s="18"/>
      <c r="G556" s="18"/>
      <c r="H556" s="58"/>
      <c r="I556" s="21"/>
      <c r="J556" s="22"/>
    </row>
    <row r="557" spans="1:10" ht="13.2" x14ac:dyDescent="0.25">
      <c r="A557" s="17"/>
      <c r="B557" s="17"/>
      <c r="D557" s="18"/>
      <c r="E557" s="18"/>
      <c r="F557" s="18"/>
      <c r="G557" s="18"/>
      <c r="H557" s="58"/>
      <c r="I557" s="21"/>
      <c r="J557" s="22"/>
    </row>
    <row r="558" spans="1:10" ht="13.2" x14ac:dyDescent="0.25">
      <c r="A558" s="17"/>
      <c r="B558" s="17"/>
      <c r="D558" s="18"/>
      <c r="E558" s="18"/>
      <c r="F558" s="18"/>
      <c r="G558" s="18"/>
      <c r="H558" s="58"/>
      <c r="I558" s="21"/>
      <c r="J558" s="22"/>
    </row>
    <row r="559" spans="1:10" ht="13.2" x14ac:dyDescent="0.25">
      <c r="A559" s="17"/>
      <c r="B559" s="17"/>
      <c r="D559" s="18"/>
      <c r="E559" s="18"/>
      <c r="F559" s="18"/>
      <c r="G559" s="18"/>
      <c r="H559" s="58"/>
      <c r="I559" s="21"/>
      <c r="J559" s="22"/>
    </row>
    <row r="560" spans="1:10" ht="13.2" x14ac:dyDescent="0.25">
      <c r="A560" s="17"/>
      <c r="B560" s="17"/>
      <c r="D560" s="18"/>
      <c r="E560" s="18"/>
      <c r="F560" s="18"/>
      <c r="G560" s="18"/>
      <c r="H560" s="58"/>
      <c r="I560" s="21"/>
      <c r="J560" s="22"/>
    </row>
    <row r="561" spans="1:10" ht="13.2" x14ac:dyDescent="0.25">
      <c r="A561" s="17"/>
      <c r="B561" s="17"/>
      <c r="D561" s="18"/>
      <c r="E561" s="18"/>
      <c r="F561" s="18"/>
      <c r="G561" s="18"/>
      <c r="H561" s="58"/>
      <c r="I561" s="21"/>
      <c r="J561" s="22"/>
    </row>
    <row r="562" spans="1:10" ht="13.2" x14ac:dyDescent="0.25">
      <c r="A562" s="17"/>
      <c r="B562" s="17"/>
      <c r="D562" s="18"/>
      <c r="E562" s="18"/>
      <c r="F562" s="18"/>
      <c r="G562" s="18"/>
      <c r="H562" s="58"/>
      <c r="I562" s="21"/>
      <c r="J562" s="22"/>
    </row>
    <row r="563" spans="1:10" ht="13.2" x14ac:dyDescent="0.25">
      <c r="A563" s="17"/>
      <c r="B563" s="17"/>
      <c r="D563" s="18"/>
      <c r="E563" s="18"/>
      <c r="F563" s="18"/>
      <c r="G563" s="18"/>
      <c r="H563" s="58"/>
      <c r="I563" s="21"/>
      <c r="J563" s="22"/>
    </row>
    <row r="564" spans="1:10" ht="13.2" x14ac:dyDescent="0.25">
      <c r="A564" s="17"/>
      <c r="B564" s="17"/>
      <c r="D564" s="18"/>
      <c r="E564" s="18"/>
      <c r="F564" s="18"/>
      <c r="G564" s="18"/>
      <c r="H564" s="58"/>
      <c r="I564" s="21"/>
      <c r="J564" s="22"/>
    </row>
    <row r="565" spans="1:10" ht="13.2" x14ac:dyDescent="0.25">
      <c r="A565" s="17"/>
      <c r="B565" s="17"/>
      <c r="D565" s="18"/>
      <c r="E565" s="18"/>
      <c r="F565" s="18"/>
      <c r="G565" s="18"/>
      <c r="H565" s="58"/>
      <c r="I565" s="21"/>
      <c r="J565" s="22"/>
    </row>
    <row r="566" spans="1:10" ht="13.2" x14ac:dyDescent="0.25">
      <c r="A566" s="17"/>
      <c r="B566" s="17"/>
      <c r="D566" s="18"/>
      <c r="E566" s="18"/>
      <c r="F566" s="18"/>
      <c r="G566" s="18"/>
      <c r="H566" s="58"/>
      <c r="I566" s="21"/>
      <c r="J566" s="22"/>
    </row>
    <row r="567" spans="1:10" ht="13.2" x14ac:dyDescent="0.25">
      <c r="A567" s="17"/>
      <c r="B567" s="17"/>
      <c r="D567" s="18"/>
      <c r="E567" s="18"/>
      <c r="F567" s="18"/>
      <c r="G567" s="18"/>
      <c r="H567" s="58"/>
      <c r="I567" s="21"/>
      <c r="J567" s="22"/>
    </row>
    <row r="568" spans="1:10" ht="13.2" x14ac:dyDescent="0.25">
      <c r="A568" s="17"/>
      <c r="B568" s="17"/>
      <c r="D568" s="18"/>
      <c r="E568" s="18"/>
      <c r="F568" s="18"/>
      <c r="G568" s="18"/>
      <c r="H568" s="58"/>
      <c r="I568" s="21"/>
      <c r="J568" s="22"/>
    </row>
    <row r="569" spans="1:10" ht="13.2" x14ac:dyDescent="0.25">
      <c r="A569" s="17"/>
      <c r="B569" s="17"/>
      <c r="D569" s="18"/>
      <c r="E569" s="18"/>
      <c r="F569" s="18"/>
      <c r="G569" s="18"/>
      <c r="H569" s="58"/>
      <c r="I569" s="21"/>
      <c r="J569" s="22"/>
    </row>
    <row r="570" spans="1:10" ht="13.2" x14ac:dyDescent="0.25">
      <c r="A570" s="17"/>
      <c r="B570" s="17"/>
      <c r="D570" s="18"/>
      <c r="E570" s="18"/>
      <c r="F570" s="18"/>
      <c r="G570" s="18"/>
      <c r="H570" s="58"/>
      <c r="I570" s="21"/>
      <c r="J570" s="22"/>
    </row>
    <row r="571" spans="1:10" ht="13.2" x14ac:dyDescent="0.25">
      <c r="A571" s="17"/>
      <c r="B571" s="17"/>
      <c r="D571" s="18"/>
      <c r="E571" s="18"/>
      <c r="F571" s="18"/>
      <c r="G571" s="18"/>
      <c r="H571" s="58"/>
      <c r="I571" s="21"/>
      <c r="J571" s="22"/>
    </row>
    <row r="572" spans="1:10" ht="13.2" x14ac:dyDescent="0.25">
      <c r="A572" s="17"/>
      <c r="B572" s="17"/>
      <c r="D572" s="18"/>
      <c r="E572" s="18"/>
      <c r="F572" s="18"/>
      <c r="G572" s="18"/>
      <c r="H572" s="58"/>
      <c r="I572" s="21"/>
      <c r="J572" s="22"/>
    </row>
    <row r="573" spans="1:10" ht="13.2" x14ac:dyDescent="0.25">
      <c r="A573" s="17"/>
      <c r="B573" s="17"/>
      <c r="D573" s="18"/>
      <c r="E573" s="18"/>
      <c r="F573" s="18"/>
      <c r="G573" s="18"/>
      <c r="H573" s="58"/>
      <c r="I573" s="21"/>
      <c r="J573" s="22"/>
    </row>
    <row r="574" spans="1:10" ht="13.2" x14ac:dyDescent="0.25">
      <c r="A574" s="17"/>
      <c r="B574" s="17"/>
      <c r="D574" s="18"/>
      <c r="E574" s="18"/>
      <c r="F574" s="18"/>
      <c r="G574" s="18"/>
      <c r="H574" s="58"/>
      <c r="I574" s="21"/>
      <c r="J574" s="22"/>
    </row>
    <row r="575" spans="1:10" ht="13.2" x14ac:dyDescent="0.25">
      <c r="A575" s="17"/>
      <c r="B575" s="17"/>
      <c r="D575" s="18"/>
      <c r="E575" s="18"/>
      <c r="F575" s="18"/>
      <c r="G575" s="18"/>
      <c r="H575" s="58"/>
      <c r="I575" s="21"/>
      <c r="J575" s="22"/>
    </row>
    <row r="576" spans="1:10" ht="13.2" x14ac:dyDescent="0.25">
      <c r="A576" s="17"/>
      <c r="B576" s="17"/>
      <c r="D576" s="18"/>
      <c r="E576" s="18"/>
      <c r="F576" s="18"/>
      <c r="G576" s="18"/>
      <c r="H576" s="58"/>
      <c r="I576" s="21"/>
      <c r="J576" s="22"/>
    </row>
    <row r="577" spans="1:10" ht="13.2" x14ac:dyDescent="0.25">
      <c r="A577" s="17"/>
      <c r="B577" s="17"/>
      <c r="D577" s="18"/>
      <c r="E577" s="18"/>
      <c r="F577" s="18"/>
      <c r="G577" s="18"/>
      <c r="H577" s="58"/>
      <c r="I577" s="21"/>
      <c r="J577" s="22"/>
    </row>
    <row r="578" spans="1:10" ht="13.2" x14ac:dyDescent="0.25">
      <c r="A578" s="17"/>
      <c r="B578" s="17"/>
      <c r="D578" s="18"/>
      <c r="E578" s="18"/>
      <c r="F578" s="18"/>
      <c r="G578" s="18"/>
      <c r="H578" s="58"/>
      <c r="I578" s="21"/>
      <c r="J578" s="22"/>
    </row>
    <row r="579" spans="1:10" ht="13.2" x14ac:dyDescent="0.25">
      <c r="A579" s="17"/>
      <c r="B579" s="17"/>
      <c r="D579" s="18"/>
      <c r="E579" s="18"/>
      <c r="F579" s="18"/>
      <c r="G579" s="18"/>
      <c r="H579" s="58"/>
      <c r="I579" s="21"/>
      <c r="J579" s="22"/>
    </row>
    <row r="580" spans="1:10" ht="13.2" x14ac:dyDescent="0.25">
      <c r="A580" s="17"/>
      <c r="B580" s="17"/>
      <c r="D580" s="18"/>
      <c r="E580" s="18"/>
      <c r="F580" s="18"/>
      <c r="G580" s="18"/>
      <c r="H580" s="58"/>
      <c r="I580" s="21"/>
      <c r="J580" s="22"/>
    </row>
    <row r="581" spans="1:10" ht="13.2" x14ac:dyDescent="0.25">
      <c r="A581" s="17"/>
      <c r="B581" s="17"/>
      <c r="D581" s="18"/>
      <c r="E581" s="18"/>
      <c r="F581" s="18"/>
      <c r="G581" s="18"/>
      <c r="H581" s="58"/>
      <c r="I581" s="21"/>
      <c r="J581" s="22"/>
    </row>
    <row r="582" spans="1:10" ht="13.2" x14ac:dyDescent="0.25">
      <c r="A582" s="17"/>
      <c r="B582" s="17"/>
      <c r="D582" s="18"/>
      <c r="E582" s="18"/>
      <c r="F582" s="18"/>
      <c r="G582" s="18"/>
      <c r="H582" s="58"/>
      <c r="I582" s="21"/>
      <c r="J582" s="22"/>
    </row>
    <row r="583" spans="1:10" ht="13.2" x14ac:dyDescent="0.25">
      <c r="A583" s="17"/>
      <c r="B583" s="17"/>
      <c r="D583" s="18"/>
      <c r="E583" s="18"/>
      <c r="F583" s="18"/>
      <c r="G583" s="18"/>
      <c r="H583" s="58"/>
      <c r="I583" s="21"/>
      <c r="J583" s="22"/>
    </row>
    <row r="584" spans="1:10" ht="13.2" x14ac:dyDescent="0.25">
      <c r="A584" s="17"/>
      <c r="B584" s="17"/>
      <c r="D584" s="18"/>
      <c r="E584" s="18"/>
      <c r="F584" s="18"/>
      <c r="G584" s="18"/>
      <c r="H584" s="58"/>
      <c r="I584" s="21"/>
      <c r="J584" s="22"/>
    </row>
    <row r="585" spans="1:10" ht="13.2" x14ac:dyDescent="0.25">
      <c r="A585" s="17"/>
      <c r="B585" s="17"/>
      <c r="D585" s="18"/>
      <c r="E585" s="18"/>
      <c r="F585" s="18"/>
      <c r="G585" s="18"/>
      <c r="H585" s="58"/>
      <c r="I585" s="21"/>
      <c r="J585" s="22"/>
    </row>
    <row r="586" spans="1:10" ht="13.2" x14ac:dyDescent="0.25">
      <c r="A586" s="17"/>
      <c r="B586" s="17"/>
      <c r="D586" s="18"/>
      <c r="E586" s="18"/>
      <c r="F586" s="18"/>
      <c r="G586" s="18"/>
      <c r="H586" s="58"/>
      <c r="I586" s="21"/>
      <c r="J586" s="22"/>
    </row>
    <row r="587" spans="1:10" ht="13.2" x14ac:dyDescent="0.25">
      <c r="A587" s="17"/>
      <c r="B587" s="17"/>
      <c r="D587" s="18"/>
      <c r="E587" s="18"/>
      <c r="F587" s="18"/>
      <c r="G587" s="18"/>
      <c r="H587" s="58"/>
      <c r="I587" s="21"/>
      <c r="J587" s="22"/>
    </row>
    <row r="588" spans="1:10" ht="13.2" x14ac:dyDescent="0.25">
      <c r="A588" s="17"/>
      <c r="B588" s="17"/>
      <c r="D588" s="18"/>
      <c r="E588" s="18"/>
      <c r="F588" s="18"/>
      <c r="G588" s="18"/>
      <c r="H588" s="58"/>
      <c r="I588" s="21"/>
      <c r="J588" s="22"/>
    </row>
    <row r="589" spans="1:10" ht="13.2" x14ac:dyDescent="0.25">
      <c r="A589" s="17"/>
      <c r="B589" s="17"/>
      <c r="D589" s="18"/>
      <c r="E589" s="18"/>
      <c r="F589" s="18"/>
      <c r="G589" s="18"/>
      <c r="H589" s="58"/>
      <c r="I589" s="21"/>
      <c r="J589" s="22"/>
    </row>
    <row r="590" spans="1:10" ht="13.2" x14ac:dyDescent="0.25">
      <c r="A590" s="17"/>
      <c r="B590" s="17"/>
      <c r="D590" s="18"/>
      <c r="E590" s="18"/>
      <c r="F590" s="18"/>
      <c r="G590" s="18"/>
      <c r="H590" s="58"/>
      <c r="I590" s="21"/>
      <c r="J590" s="22"/>
    </row>
    <row r="591" spans="1:10" ht="13.2" x14ac:dyDescent="0.25">
      <c r="A591" s="17"/>
      <c r="B591" s="17"/>
      <c r="D591" s="18"/>
      <c r="E591" s="18"/>
      <c r="F591" s="18"/>
      <c r="G591" s="18"/>
      <c r="H591" s="58"/>
      <c r="I591" s="21"/>
      <c r="J591" s="22"/>
    </row>
    <row r="592" spans="1:10" ht="13.2" x14ac:dyDescent="0.25">
      <c r="A592" s="17"/>
      <c r="B592" s="17"/>
      <c r="D592" s="18"/>
      <c r="E592" s="18"/>
      <c r="F592" s="18"/>
      <c r="G592" s="18"/>
      <c r="H592" s="58"/>
      <c r="I592" s="21"/>
      <c r="J592" s="22"/>
    </row>
    <row r="593" spans="1:10" ht="13.2" x14ac:dyDescent="0.25">
      <c r="A593" s="17"/>
      <c r="B593" s="17"/>
      <c r="D593" s="18"/>
      <c r="E593" s="18"/>
      <c r="F593" s="18"/>
      <c r="G593" s="18"/>
      <c r="H593" s="58"/>
      <c r="I593" s="21"/>
      <c r="J593" s="22"/>
    </row>
    <row r="594" spans="1:10" ht="13.2" x14ac:dyDescent="0.25">
      <c r="A594" s="17"/>
      <c r="B594" s="17"/>
      <c r="D594" s="18"/>
      <c r="E594" s="18"/>
      <c r="F594" s="18"/>
      <c r="G594" s="18"/>
      <c r="H594" s="58"/>
      <c r="I594" s="21"/>
      <c r="J594" s="22"/>
    </row>
    <row r="595" spans="1:10" ht="13.2" x14ac:dyDescent="0.25">
      <c r="A595" s="17"/>
      <c r="B595" s="17"/>
      <c r="D595" s="18"/>
      <c r="E595" s="18"/>
      <c r="F595" s="18"/>
      <c r="G595" s="18"/>
      <c r="H595" s="58"/>
      <c r="I595" s="21"/>
      <c r="J595" s="22"/>
    </row>
    <row r="596" spans="1:10" ht="13.2" x14ac:dyDescent="0.25">
      <c r="A596" s="17"/>
      <c r="B596" s="17"/>
      <c r="D596" s="18"/>
      <c r="E596" s="18"/>
      <c r="F596" s="18"/>
      <c r="G596" s="18"/>
      <c r="H596" s="58"/>
      <c r="I596" s="21"/>
      <c r="J596" s="22"/>
    </row>
    <row r="597" spans="1:10" ht="13.2" x14ac:dyDescent="0.25">
      <c r="A597" s="17"/>
      <c r="B597" s="17"/>
      <c r="D597" s="18"/>
      <c r="E597" s="18"/>
      <c r="F597" s="18"/>
      <c r="G597" s="18"/>
      <c r="H597" s="58"/>
      <c r="I597" s="21"/>
      <c r="J597" s="22"/>
    </row>
    <row r="598" spans="1:10" ht="13.2" x14ac:dyDescent="0.25">
      <c r="A598" s="17"/>
      <c r="B598" s="17"/>
      <c r="D598" s="18"/>
      <c r="E598" s="18"/>
      <c r="F598" s="18"/>
      <c r="G598" s="18"/>
      <c r="H598" s="58"/>
      <c r="I598" s="21"/>
      <c r="J598" s="22"/>
    </row>
    <row r="599" spans="1:10" ht="13.2" x14ac:dyDescent="0.25">
      <c r="A599" s="17"/>
      <c r="B599" s="17"/>
      <c r="D599" s="18"/>
      <c r="E599" s="18"/>
      <c r="F599" s="18"/>
      <c r="G599" s="18"/>
      <c r="H599" s="58"/>
      <c r="I599" s="21"/>
      <c r="J599" s="22"/>
    </row>
    <row r="600" spans="1:10" ht="13.2" x14ac:dyDescent="0.25">
      <c r="A600" s="17"/>
      <c r="B600" s="17"/>
      <c r="D600" s="18"/>
      <c r="E600" s="18"/>
      <c r="F600" s="18"/>
      <c r="G600" s="18"/>
      <c r="H600" s="58"/>
      <c r="I600" s="21"/>
      <c r="J600" s="22"/>
    </row>
    <row r="601" spans="1:10" ht="13.2" x14ac:dyDescent="0.25">
      <c r="A601" s="17"/>
      <c r="B601" s="17"/>
      <c r="D601" s="18"/>
      <c r="E601" s="18"/>
      <c r="F601" s="18"/>
      <c r="G601" s="18"/>
      <c r="H601" s="58"/>
      <c r="I601" s="21"/>
      <c r="J601" s="22"/>
    </row>
    <row r="602" spans="1:10" ht="13.2" x14ac:dyDescent="0.25">
      <c r="A602" s="17"/>
      <c r="B602" s="17"/>
      <c r="D602" s="18"/>
      <c r="E602" s="18"/>
      <c r="F602" s="18"/>
      <c r="G602" s="18"/>
      <c r="H602" s="58"/>
      <c r="I602" s="21"/>
      <c r="J602" s="22"/>
    </row>
    <row r="603" spans="1:10" ht="13.2" x14ac:dyDescent="0.25">
      <c r="A603" s="17"/>
      <c r="B603" s="17"/>
      <c r="D603" s="18"/>
      <c r="E603" s="18"/>
      <c r="F603" s="18"/>
      <c r="G603" s="18"/>
      <c r="H603" s="58"/>
      <c r="I603" s="21"/>
      <c r="J603" s="22"/>
    </row>
    <row r="604" spans="1:10" ht="13.2" x14ac:dyDescent="0.25">
      <c r="A604" s="17"/>
      <c r="B604" s="17"/>
      <c r="D604" s="18"/>
      <c r="E604" s="18"/>
      <c r="F604" s="18"/>
      <c r="G604" s="18"/>
      <c r="H604" s="58"/>
      <c r="I604" s="21"/>
      <c r="J604" s="22"/>
    </row>
    <row r="605" spans="1:10" ht="13.2" x14ac:dyDescent="0.25">
      <c r="A605" s="17"/>
      <c r="B605" s="17"/>
      <c r="D605" s="18"/>
      <c r="E605" s="18"/>
      <c r="F605" s="18"/>
      <c r="G605" s="18"/>
      <c r="H605" s="58"/>
      <c r="I605" s="21"/>
      <c r="J605" s="22"/>
    </row>
    <row r="606" spans="1:10" ht="13.2" x14ac:dyDescent="0.25">
      <c r="A606" s="17"/>
      <c r="B606" s="17"/>
      <c r="D606" s="18"/>
      <c r="E606" s="18"/>
      <c r="F606" s="18"/>
      <c r="G606" s="18"/>
      <c r="H606" s="58"/>
      <c r="I606" s="21"/>
      <c r="J606" s="22"/>
    </row>
    <row r="607" spans="1:10" ht="13.2" x14ac:dyDescent="0.25">
      <c r="A607" s="17"/>
      <c r="B607" s="17"/>
      <c r="D607" s="18"/>
      <c r="E607" s="18"/>
      <c r="F607" s="18"/>
      <c r="G607" s="18"/>
      <c r="H607" s="58"/>
      <c r="I607" s="21"/>
      <c r="J607" s="22"/>
    </row>
    <row r="608" spans="1:10" ht="13.2" x14ac:dyDescent="0.25">
      <c r="A608" s="17"/>
      <c r="B608" s="17"/>
      <c r="D608" s="18"/>
      <c r="E608" s="18"/>
      <c r="F608" s="18"/>
      <c r="G608" s="18"/>
      <c r="H608" s="58"/>
      <c r="I608" s="21"/>
      <c r="J608" s="22"/>
    </row>
    <row r="609" spans="1:10" ht="13.2" x14ac:dyDescent="0.25">
      <c r="A609" s="17"/>
      <c r="B609" s="17"/>
      <c r="D609" s="18"/>
      <c r="E609" s="18"/>
      <c r="F609" s="18"/>
      <c r="G609" s="18"/>
      <c r="H609" s="58"/>
      <c r="I609" s="21"/>
      <c r="J609" s="22"/>
    </row>
    <row r="610" spans="1:10" ht="13.2" x14ac:dyDescent="0.25">
      <c r="A610" s="17"/>
      <c r="B610" s="17"/>
      <c r="D610" s="18"/>
      <c r="E610" s="18"/>
      <c r="F610" s="18"/>
      <c r="G610" s="18"/>
      <c r="H610" s="58"/>
      <c r="I610" s="21"/>
      <c r="J610" s="22"/>
    </row>
    <row r="611" spans="1:10" ht="13.2" x14ac:dyDescent="0.25">
      <c r="A611" s="17"/>
      <c r="B611" s="17"/>
      <c r="D611" s="18"/>
      <c r="E611" s="18"/>
      <c r="F611" s="18"/>
      <c r="G611" s="18"/>
      <c r="H611" s="58"/>
      <c r="I611" s="21"/>
      <c r="J611" s="22"/>
    </row>
    <row r="612" spans="1:10" ht="13.2" x14ac:dyDescent="0.25">
      <c r="A612" s="17"/>
      <c r="B612" s="17"/>
      <c r="D612" s="18"/>
      <c r="E612" s="18"/>
      <c r="F612" s="18"/>
      <c r="G612" s="18"/>
      <c r="H612" s="58"/>
      <c r="I612" s="21"/>
      <c r="J612" s="22"/>
    </row>
    <row r="613" spans="1:10" ht="13.2" x14ac:dyDescent="0.25">
      <c r="A613" s="17"/>
      <c r="B613" s="17"/>
      <c r="D613" s="18"/>
      <c r="E613" s="18"/>
      <c r="F613" s="18"/>
      <c r="G613" s="18"/>
      <c r="H613" s="58"/>
      <c r="I613" s="21"/>
      <c r="J613" s="22"/>
    </row>
    <row r="614" spans="1:10" ht="13.2" x14ac:dyDescent="0.25">
      <c r="A614" s="17"/>
      <c r="B614" s="17"/>
      <c r="D614" s="18"/>
      <c r="E614" s="18"/>
      <c r="F614" s="18"/>
      <c r="G614" s="18"/>
      <c r="H614" s="58"/>
      <c r="I614" s="21"/>
      <c r="J614" s="22"/>
    </row>
    <row r="615" spans="1:10" ht="13.2" x14ac:dyDescent="0.25">
      <c r="A615" s="17"/>
      <c r="B615" s="17"/>
      <c r="D615" s="18"/>
      <c r="E615" s="18"/>
      <c r="F615" s="18"/>
      <c r="G615" s="18"/>
      <c r="H615" s="58"/>
      <c r="I615" s="21"/>
      <c r="J615" s="22"/>
    </row>
    <row r="616" spans="1:10" ht="13.2" x14ac:dyDescent="0.25">
      <c r="A616" s="17"/>
      <c r="B616" s="17"/>
      <c r="D616" s="18"/>
      <c r="E616" s="18"/>
      <c r="F616" s="18"/>
      <c r="G616" s="18"/>
      <c r="H616" s="58"/>
      <c r="I616" s="21"/>
      <c r="J616" s="22"/>
    </row>
    <row r="617" spans="1:10" ht="13.2" x14ac:dyDescent="0.25">
      <c r="A617" s="17"/>
      <c r="B617" s="17"/>
      <c r="D617" s="18"/>
      <c r="E617" s="18"/>
      <c r="F617" s="18"/>
      <c r="G617" s="18"/>
      <c r="H617" s="58"/>
      <c r="I617" s="21"/>
      <c r="J617" s="22"/>
    </row>
    <row r="618" spans="1:10" ht="13.2" x14ac:dyDescent="0.25">
      <c r="A618" s="17"/>
      <c r="B618" s="17"/>
      <c r="D618" s="18"/>
      <c r="E618" s="18"/>
      <c r="F618" s="18"/>
      <c r="G618" s="18"/>
      <c r="H618" s="58"/>
      <c r="I618" s="21"/>
      <c r="J618" s="22"/>
    </row>
    <row r="619" spans="1:10" ht="13.2" x14ac:dyDescent="0.25">
      <c r="A619" s="17"/>
      <c r="B619" s="17"/>
      <c r="D619" s="18"/>
      <c r="E619" s="18"/>
      <c r="F619" s="18"/>
      <c r="G619" s="18"/>
      <c r="H619" s="58"/>
      <c r="I619" s="21"/>
      <c r="J619" s="22"/>
    </row>
    <row r="620" spans="1:10" ht="13.2" x14ac:dyDescent="0.25">
      <c r="A620" s="17"/>
      <c r="B620" s="17"/>
      <c r="D620" s="18"/>
      <c r="E620" s="18"/>
      <c r="F620" s="18"/>
      <c r="G620" s="18"/>
      <c r="H620" s="58"/>
      <c r="I620" s="21"/>
      <c r="J620" s="22"/>
    </row>
    <row r="621" spans="1:10" ht="13.2" x14ac:dyDescent="0.25">
      <c r="A621" s="17"/>
      <c r="B621" s="17"/>
      <c r="D621" s="18"/>
      <c r="E621" s="18"/>
      <c r="F621" s="18"/>
      <c r="G621" s="18"/>
      <c r="H621" s="58"/>
      <c r="I621" s="21"/>
      <c r="J621" s="22"/>
    </row>
    <row r="622" spans="1:10" ht="13.2" x14ac:dyDescent="0.25">
      <c r="A622" s="17"/>
      <c r="B622" s="17"/>
      <c r="D622" s="18"/>
      <c r="E622" s="18"/>
      <c r="F622" s="18"/>
      <c r="G622" s="18"/>
      <c r="H622" s="58"/>
      <c r="I622" s="21"/>
      <c r="J622" s="22"/>
    </row>
    <row r="623" spans="1:10" ht="13.2" x14ac:dyDescent="0.25">
      <c r="A623" s="17"/>
      <c r="B623" s="17"/>
      <c r="D623" s="18"/>
      <c r="E623" s="18"/>
      <c r="F623" s="18"/>
      <c r="G623" s="18"/>
      <c r="H623" s="58"/>
      <c r="I623" s="21"/>
      <c r="J623" s="22"/>
    </row>
    <row r="624" spans="1:10" ht="13.2" x14ac:dyDescent="0.25">
      <c r="A624" s="17"/>
      <c r="B624" s="17"/>
      <c r="D624" s="18"/>
      <c r="E624" s="18"/>
      <c r="F624" s="18"/>
      <c r="G624" s="18"/>
      <c r="H624" s="58"/>
      <c r="I624" s="21"/>
      <c r="J624" s="22"/>
    </row>
    <row r="625" spans="1:10" ht="13.2" x14ac:dyDescent="0.25">
      <c r="A625" s="17"/>
      <c r="B625" s="17"/>
      <c r="D625" s="18"/>
      <c r="E625" s="18"/>
      <c r="F625" s="18"/>
      <c r="G625" s="18"/>
      <c r="H625" s="58"/>
      <c r="I625" s="21"/>
      <c r="J625" s="22"/>
    </row>
    <row r="626" spans="1:10" ht="13.2" x14ac:dyDescent="0.25">
      <c r="A626" s="17"/>
      <c r="B626" s="17"/>
      <c r="D626" s="18"/>
      <c r="E626" s="18"/>
      <c r="F626" s="18"/>
      <c r="G626" s="18"/>
      <c r="H626" s="58"/>
      <c r="I626" s="21"/>
      <c r="J626" s="22"/>
    </row>
    <row r="627" spans="1:10" ht="13.2" x14ac:dyDescent="0.25">
      <c r="A627" s="17"/>
      <c r="B627" s="17"/>
      <c r="D627" s="18"/>
      <c r="E627" s="18"/>
      <c r="F627" s="18"/>
      <c r="G627" s="18"/>
      <c r="H627" s="58"/>
      <c r="I627" s="21"/>
      <c r="J627" s="22"/>
    </row>
    <row r="628" spans="1:10" ht="13.2" x14ac:dyDescent="0.25">
      <c r="A628" s="17"/>
      <c r="B628" s="17"/>
      <c r="D628" s="18"/>
      <c r="E628" s="18"/>
      <c r="F628" s="18"/>
      <c r="G628" s="18"/>
      <c r="H628" s="58"/>
      <c r="I628" s="21"/>
      <c r="J628" s="22"/>
    </row>
    <row r="629" spans="1:10" ht="13.2" x14ac:dyDescent="0.25">
      <c r="A629" s="17"/>
      <c r="B629" s="17"/>
      <c r="D629" s="18"/>
      <c r="E629" s="18"/>
      <c r="F629" s="18"/>
      <c r="G629" s="18"/>
      <c r="H629" s="58"/>
      <c r="I629" s="21"/>
      <c r="J629" s="22"/>
    </row>
    <row r="630" spans="1:10" ht="13.2" x14ac:dyDescent="0.25">
      <c r="A630" s="17"/>
      <c r="B630" s="17"/>
      <c r="D630" s="18"/>
      <c r="E630" s="18"/>
      <c r="F630" s="18"/>
      <c r="G630" s="18"/>
      <c r="H630" s="58"/>
      <c r="I630" s="21"/>
      <c r="J630" s="22"/>
    </row>
    <row r="631" spans="1:10" ht="13.2" x14ac:dyDescent="0.25">
      <c r="A631" s="17"/>
      <c r="B631" s="17"/>
      <c r="D631" s="18"/>
      <c r="E631" s="18"/>
      <c r="F631" s="18"/>
      <c r="G631" s="18"/>
      <c r="H631" s="58"/>
      <c r="I631" s="21"/>
      <c r="J631" s="22"/>
    </row>
    <row r="632" spans="1:10" ht="13.2" x14ac:dyDescent="0.25">
      <c r="A632" s="17"/>
      <c r="B632" s="17"/>
      <c r="D632" s="18"/>
      <c r="E632" s="18"/>
      <c r="F632" s="18"/>
      <c r="G632" s="18"/>
      <c r="H632" s="58"/>
      <c r="I632" s="21"/>
      <c r="J632" s="22"/>
    </row>
    <row r="633" spans="1:10" ht="13.2" x14ac:dyDescent="0.25">
      <c r="A633" s="17"/>
      <c r="B633" s="17"/>
      <c r="D633" s="18"/>
      <c r="E633" s="18"/>
      <c r="F633" s="18"/>
      <c r="G633" s="18"/>
      <c r="H633" s="58"/>
      <c r="I633" s="21"/>
      <c r="J633" s="22"/>
    </row>
    <row r="634" spans="1:10" ht="13.2" x14ac:dyDescent="0.25">
      <c r="A634" s="17"/>
      <c r="B634" s="17"/>
      <c r="D634" s="18"/>
      <c r="E634" s="18"/>
      <c r="F634" s="18"/>
      <c r="G634" s="18"/>
      <c r="H634" s="58"/>
      <c r="I634" s="21"/>
      <c r="J634" s="22"/>
    </row>
    <row r="635" spans="1:10" ht="13.2" x14ac:dyDescent="0.25">
      <c r="A635" s="17"/>
      <c r="B635" s="17"/>
      <c r="D635" s="18"/>
      <c r="E635" s="18"/>
      <c r="F635" s="18"/>
      <c r="G635" s="18"/>
      <c r="H635" s="58"/>
      <c r="I635" s="21"/>
      <c r="J635" s="22"/>
    </row>
    <row r="636" spans="1:10" ht="13.2" x14ac:dyDescent="0.25">
      <c r="A636" s="17"/>
      <c r="B636" s="17"/>
      <c r="D636" s="18"/>
      <c r="E636" s="18"/>
      <c r="F636" s="18"/>
      <c r="G636" s="18"/>
      <c r="H636" s="58"/>
      <c r="I636" s="21"/>
      <c r="J636" s="22"/>
    </row>
    <row r="637" spans="1:10" ht="13.2" x14ac:dyDescent="0.25">
      <c r="A637" s="17"/>
      <c r="B637" s="17"/>
      <c r="D637" s="18"/>
      <c r="E637" s="18"/>
      <c r="F637" s="18"/>
      <c r="G637" s="18"/>
      <c r="H637" s="58"/>
      <c r="I637" s="21"/>
      <c r="J637" s="22"/>
    </row>
    <row r="638" spans="1:10" ht="13.2" x14ac:dyDescent="0.25">
      <c r="A638" s="17"/>
      <c r="B638" s="17"/>
      <c r="D638" s="18"/>
      <c r="E638" s="18"/>
      <c r="F638" s="18"/>
      <c r="G638" s="18"/>
      <c r="H638" s="58"/>
      <c r="I638" s="21"/>
      <c r="J638" s="22"/>
    </row>
    <row r="639" spans="1:10" ht="13.2" x14ac:dyDescent="0.25">
      <c r="A639" s="17"/>
      <c r="B639" s="17"/>
      <c r="D639" s="18"/>
      <c r="E639" s="18"/>
      <c r="F639" s="18"/>
      <c r="G639" s="18"/>
      <c r="H639" s="58"/>
      <c r="I639" s="21"/>
      <c r="J639" s="22"/>
    </row>
    <row r="640" spans="1:10" ht="13.2" x14ac:dyDescent="0.25">
      <c r="A640" s="17"/>
      <c r="B640" s="17"/>
      <c r="D640" s="18"/>
      <c r="E640" s="18"/>
      <c r="F640" s="18"/>
      <c r="G640" s="18"/>
      <c r="H640" s="58"/>
      <c r="I640" s="21"/>
      <c r="J640" s="22"/>
    </row>
    <row r="641" spans="1:10" ht="13.2" x14ac:dyDescent="0.25">
      <c r="A641" s="17"/>
      <c r="B641" s="17"/>
      <c r="D641" s="18"/>
      <c r="E641" s="18"/>
      <c r="F641" s="18"/>
      <c r="G641" s="18"/>
      <c r="H641" s="58"/>
      <c r="I641" s="21"/>
      <c r="J641" s="22"/>
    </row>
    <row r="642" spans="1:10" ht="13.2" x14ac:dyDescent="0.25">
      <c r="A642" s="17"/>
      <c r="B642" s="17"/>
      <c r="D642" s="18"/>
      <c r="E642" s="18"/>
      <c r="F642" s="18"/>
      <c r="G642" s="18"/>
      <c r="H642" s="58"/>
      <c r="I642" s="21"/>
      <c r="J642" s="22"/>
    </row>
    <row r="643" spans="1:10" ht="13.2" x14ac:dyDescent="0.25">
      <c r="A643" s="17"/>
      <c r="B643" s="17"/>
      <c r="D643" s="18"/>
      <c r="E643" s="18"/>
      <c r="F643" s="18"/>
      <c r="G643" s="18"/>
      <c r="H643" s="58"/>
      <c r="I643" s="21"/>
      <c r="J643" s="22"/>
    </row>
    <row r="644" spans="1:10" ht="13.2" x14ac:dyDescent="0.25">
      <c r="A644" s="17"/>
      <c r="B644" s="17"/>
      <c r="D644" s="18"/>
      <c r="E644" s="18"/>
      <c r="F644" s="18"/>
      <c r="G644" s="18"/>
      <c r="H644" s="58"/>
      <c r="I644" s="21"/>
      <c r="J644" s="22"/>
    </row>
    <row r="645" spans="1:10" ht="13.2" x14ac:dyDescent="0.25">
      <c r="A645" s="17"/>
      <c r="B645" s="17"/>
      <c r="D645" s="18"/>
      <c r="E645" s="18"/>
      <c r="F645" s="18"/>
      <c r="G645" s="18"/>
      <c r="H645" s="58"/>
      <c r="I645" s="21"/>
      <c r="J645" s="22"/>
    </row>
    <row r="646" spans="1:10" ht="13.2" x14ac:dyDescent="0.25">
      <c r="A646" s="17"/>
      <c r="B646" s="17"/>
      <c r="D646" s="18"/>
      <c r="E646" s="18"/>
      <c r="F646" s="18"/>
      <c r="G646" s="18"/>
      <c r="H646" s="58"/>
      <c r="I646" s="21"/>
      <c r="J646" s="22"/>
    </row>
    <row r="647" spans="1:10" ht="13.2" x14ac:dyDescent="0.25">
      <c r="A647" s="17"/>
      <c r="B647" s="17"/>
      <c r="D647" s="18"/>
      <c r="E647" s="18"/>
      <c r="F647" s="18"/>
      <c r="G647" s="18"/>
      <c r="H647" s="58"/>
      <c r="I647" s="21"/>
      <c r="J647" s="22"/>
    </row>
    <row r="648" spans="1:10" ht="13.2" x14ac:dyDescent="0.25">
      <c r="A648" s="17"/>
      <c r="B648" s="17"/>
      <c r="D648" s="18"/>
      <c r="E648" s="18"/>
      <c r="F648" s="18"/>
      <c r="G648" s="18"/>
      <c r="H648" s="58"/>
      <c r="I648" s="21"/>
      <c r="J648" s="22"/>
    </row>
    <row r="649" spans="1:10" ht="13.2" x14ac:dyDescent="0.25">
      <c r="A649" s="17"/>
      <c r="B649" s="17"/>
      <c r="D649" s="18"/>
      <c r="E649" s="18"/>
      <c r="F649" s="18"/>
      <c r="G649" s="18"/>
      <c r="H649" s="58"/>
      <c r="I649" s="21"/>
      <c r="J649" s="22"/>
    </row>
    <row r="650" spans="1:10" ht="13.2" x14ac:dyDescent="0.25">
      <c r="A650" s="17"/>
      <c r="B650" s="17"/>
      <c r="D650" s="18"/>
      <c r="E650" s="18"/>
      <c r="F650" s="18"/>
      <c r="G650" s="18"/>
      <c r="H650" s="58"/>
      <c r="I650" s="21"/>
      <c r="J650" s="22"/>
    </row>
    <row r="651" spans="1:10" ht="13.2" x14ac:dyDescent="0.25">
      <c r="A651" s="17"/>
      <c r="B651" s="17"/>
      <c r="D651" s="18"/>
      <c r="E651" s="18"/>
      <c r="F651" s="18"/>
      <c r="G651" s="18"/>
      <c r="H651" s="58"/>
      <c r="I651" s="21"/>
      <c r="J651" s="22"/>
    </row>
    <row r="652" spans="1:10" ht="13.2" x14ac:dyDescent="0.25">
      <c r="A652" s="17"/>
      <c r="B652" s="17"/>
      <c r="D652" s="18"/>
      <c r="E652" s="18"/>
      <c r="F652" s="18"/>
      <c r="G652" s="18"/>
      <c r="H652" s="58"/>
      <c r="I652" s="21"/>
      <c r="J652" s="22"/>
    </row>
    <row r="653" spans="1:10" ht="13.2" x14ac:dyDescent="0.25">
      <c r="A653" s="17"/>
      <c r="B653" s="17"/>
      <c r="D653" s="18"/>
      <c r="E653" s="18"/>
      <c r="F653" s="18"/>
      <c r="G653" s="18"/>
      <c r="H653" s="58"/>
      <c r="I653" s="21"/>
      <c r="J653" s="22"/>
    </row>
    <row r="654" spans="1:10" ht="13.2" x14ac:dyDescent="0.25">
      <c r="A654" s="17"/>
      <c r="B654" s="17"/>
      <c r="D654" s="18"/>
      <c r="E654" s="18"/>
      <c r="F654" s="18"/>
      <c r="G654" s="18"/>
      <c r="H654" s="58"/>
      <c r="I654" s="21"/>
      <c r="J654" s="22"/>
    </row>
    <row r="655" spans="1:10" ht="13.2" x14ac:dyDescent="0.25">
      <c r="A655" s="17"/>
      <c r="B655" s="17"/>
      <c r="D655" s="18"/>
      <c r="E655" s="18"/>
      <c r="F655" s="18"/>
      <c r="G655" s="18"/>
      <c r="H655" s="58"/>
      <c r="I655" s="21"/>
      <c r="J655" s="22"/>
    </row>
    <row r="656" spans="1:10" ht="13.2" x14ac:dyDescent="0.25">
      <c r="A656" s="17"/>
      <c r="B656" s="17"/>
      <c r="D656" s="18"/>
      <c r="E656" s="18"/>
      <c r="F656" s="18"/>
      <c r="G656" s="18"/>
      <c r="H656" s="58"/>
      <c r="I656" s="21"/>
      <c r="J656" s="22"/>
    </row>
    <row r="657" spans="1:10" ht="13.2" x14ac:dyDescent="0.25">
      <c r="A657" s="17"/>
      <c r="B657" s="17"/>
      <c r="D657" s="18"/>
      <c r="E657" s="18"/>
      <c r="F657" s="18"/>
      <c r="G657" s="18"/>
      <c r="H657" s="58"/>
      <c r="I657" s="21"/>
      <c r="J657" s="22"/>
    </row>
    <row r="658" spans="1:10" ht="13.2" x14ac:dyDescent="0.25">
      <c r="A658" s="17"/>
      <c r="B658" s="17"/>
      <c r="D658" s="18"/>
      <c r="E658" s="18"/>
      <c r="F658" s="18"/>
      <c r="G658" s="18"/>
      <c r="H658" s="58"/>
      <c r="I658" s="21"/>
      <c r="J658" s="22"/>
    </row>
    <row r="659" spans="1:10" ht="13.2" x14ac:dyDescent="0.25">
      <c r="A659" s="17"/>
      <c r="B659" s="17"/>
      <c r="D659" s="18"/>
      <c r="E659" s="18"/>
      <c r="F659" s="18"/>
      <c r="G659" s="18"/>
      <c r="H659" s="58"/>
      <c r="I659" s="21"/>
      <c r="J659" s="22"/>
    </row>
    <row r="660" spans="1:10" ht="13.2" x14ac:dyDescent="0.25">
      <c r="A660" s="17"/>
      <c r="B660" s="17"/>
      <c r="D660" s="18"/>
      <c r="E660" s="18"/>
      <c r="F660" s="18"/>
      <c r="G660" s="18"/>
      <c r="H660" s="58"/>
      <c r="I660" s="21"/>
      <c r="J660" s="22"/>
    </row>
    <row r="661" spans="1:10" ht="13.2" x14ac:dyDescent="0.25">
      <c r="A661" s="17"/>
      <c r="B661" s="17"/>
      <c r="D661" s="18"/>
      <c r="E661" s="18"/>
      <c r="F661" s="18"/>
      <c r="G661" s="18"/>
      <c r="H661" s="58"/>
      <c r="I661" s="21"/>
      <c r="J661" s="22"/>
    </row>
    <row r="662" spans="1:10" ht="13.2" x14ac:dyDescent="0.25">
      <c r="A662" s="17"/>
      <c r="B662" s="17"/>
      <c r="D662" s="18"/>
      <c r="E662" s="18"/>
      <c r="F662" s="18"/>
      <c r="G662" s="18"/>
      <c r="H662" s="58"/>
      <c r="I662" s="21"/>
      <c r="J662" s="22"/>
    </row>
    <row r="663" spans="1:10" ht="13.2" x14ac:dyDescent="0.25">
      <c r="A663" s="17"/>
      <c r="B663" s="17"/>
      <c r="D663" s="18"/>
      <c r="E663" s="18"/>
      <c r="F663" s="18"/>
      <c r="G663" s="18"/>
      <c r="H663" s="58"/>
      <c r="I663" s="21"/>
      <c r="J663" s="22"/>
    </row>
    <row r="664" spans="1:10" ht="13.2" x14ac:dyDescent="0.25">
      <c r="A664" s="17"/>
      <c r="B664" s="17"/>
      <c r="D664" s="18"/>
      <c r="E664" s="18"/>
      <c r="F664" s="18"/>
      <c r="G664" s="18"/>
      <c r="H664" s="58"/>
      <c r="I664" s="21"/>
      <c r="J664" s="22"/>
    </row>
    <row r="665" spans="1:10" ht="13.2" x14ac:dyDescent="0.25">
      <c r="A665" s="17"/>
      <c r="B665" s="17"/>
      <c r="D665" s="18"/>
      <c r="E665" s="18"/>
      <c r="F665" s="18"/>
      <c r="G665" s="18"/>
      <c r="H665" s="58"/>
      <c r="I665" s="21"/>
      <c r="J665" s="22"/>
    </row>
    <row r="666" spans="1:10" ht="13.2" x14ac:dyDescent="0.25">
      <c r="A666" s="17"/>
      <c r="B666" s="17"/>
      <c r="D666" s="18"/>
      <c r="E666" s="18"/>
      <c r="F666" s="18"/>
      <c r="G666" s="18"/>
      <c r="H666" s="58"/>
      <c r="I666" s="21"/>
      <c r="J666" s="22"/>
    </row>
    <row r="667" spans="1:10" ht="13.2" x14ac:dyDescent="0.25">
      <c r="A667" s="17"/>
      <c r="B667" s="17"/>
      <c r="D667" s="18"/>
      <c r="E667" s="18"/>
      <c r="F667" s="18"/>
      <c r="G667" s="18"/>
      <c r="H667" s="58"/>
      <c r="I667" s="21"/>
      <c r="J667" s="22"/>
    </row>
    <row r="668" spans="1:10" ht="13.2" x14ac:dyDescent="0.25">
      <c r="A668" s="17"/>
      <c r="B668" s="17"/>
      <c r="D668" s="18"/>
      <c r="E668" s="18"/>
      <c r="F668" s="18"/>
      <c r="G668" s="18"/>
      <c r="H668" s="58"/>
      <c r="I668" s="21"/>
      <c r="J668" s="22"/>
    </row>
    <row r="669" spans="1:10" ht="13.2" x14ac:dyDescent="0.25">
      <c r="A669" s="17"/>
      <c r="B669" s="17"/>
      <c r="D669" s="18"/>
      <c r="E669" s="18"/>
      <c r="F669" s="18"/>
      <c r="G669" s="18"/>
      <c r="H669" s="58"/>
      <c r="I669" s="21"/>
      <c r="J669" s="22"/>
    </row>
    <row r="670" spans="1:10" ht="13.2" x14ac:dyDescent="0.25">
      <c r="A670" s="17"/>
      <c r="B670" s="17"/>
      <c r="D670" s="18"/>
      <c r="E670" s="18"/>
      <c r="F670" s="18"/>
      <c r="G670" s="18"/>
      <c r="H670" s="58"/>
      <c r="I670" s="21"/>
      <c r="J670" s="22"/>
    </row>
    <row r="671" spans="1:10" ht="13.2" x14ac:dyDescent="0.25">
      <c r="A671" s="17"/>
      <c r="B671" s="17"/>
      <c r="D671" s="18"/>
      <c r="E671" s="18"/>
      <c r="F671" s="18"/>
      <c r="G671" s="18"/>
      <c r="H671" s="58"/>
      <c r="I671" s="21"/>
      <c r="J671" s="22"/>
    </row>
    <row r="672" spans="1:10" ht="13.2" x14ac:dyDescent="0.25">
      <c r="A672" s="17"/>
      <c r="B672" s="17"/>
      <c r="D672" s="18"/>
      <c r="E672" s="18"/>
      <c r="F672" s="18"/>
      <c r="G672" s="18"/>
      <c r="H672" s="58"/>
      <c r="I672" s="21"/>
      <c r="J672" s="22"/>
    </row>
    <row r="673" spans="1:10" ht="13.2" x14ac:dyDescent="0.25">
      <c r="A673" s="17"/>
      <c r="B673" s="17"/>
      <c r="D673" s="18"/>
      <c r="E673" s="18"/>
      <c r="F673" s="18"/>
      <c r="G673" s="18"/>
      <c r="H673" s="58"/>
      <c r="I673" s="21"/>
      <c r="J673" s="22"/>
    </row>
    <row r="674" spans="1:10" ht="13.2" x14ac:dyDescent="0.25">
      <c r="A674" s="17"/>
      <c r="B674" s="17"/>
      <c r="D674" s="18"/>
      <c r="E674" s="18"/>
      <c r="F674" s="18"/>
      <c r="G674" s="18"/>
      <c r="H674" s="58"/>
      <c r="I674" s="21"/>
      <c r="J674" s="22"/>
    </row>
    <row r="675" spans="1:10" ht="13.2" x14ac:dyDescent="0.25">
      <c r="A675" s="17"/>
      <c r="B675" s="17"/>
      <c r="D675" s="18"/>
      <c r="E675" s="18"/>
      <c r="F675" s="18"/>
      <c r="G675" s="18"/>
      <c r="H675" s="58"/>
      <c r="I675" s="21"/>
      <c r="J675" s="22"/>
    </row>
    <row r="676" spans="1:10" ht="13.2" x14ac:dyDescent="0.25">
      <c r="A676" s="17"/>
      <c r="B676" s="17"/>
      <c r="D676" s="18"/>
      <c r="E676" s="18"/>
      <c r="F676" s="18"/>
      <c r="G676" s="18"/>
      <c r="H676" s="58"/>
      <c r="I676" s="21"/>
      <c r="J676" s="22"/>
    </row>
    <row r="677" spans="1:10" ht="13.2" x14ac:dyDescent="0.25">
      <c r="A677" s="17"/>
      <c r="B677" s="17"/>
      <c r="D677" s="18"/>
      <c r="E677" s="18"/>
      <c r="F677" s="18"/>
      <c r="G677" s="18"/>
      <c r="H677" s="58"/>
      <c r="I677" s="21"/>
      <c r="J677" s="22"/>
    </row>
    <row r="678" spans="1:10" ht="13.2" x14ac:dyDescent="0.25">
      <c r="A678" s="17"/>
      <c r="B678" s="17"/>
      <c r="D678" s="18"/>
      <c r="E678" s="18"/>
      <c r="F678" s="18"/>
      <c r="G678" s="18"/>
      <c r="H678" s="58"/>
      <c r="I678" s="21"/>
      <c r="J678" s="22"/>
    </row>
    <row r="679" spans="1:10" ht="13.2" x14ac:dyDescent="0.25">
      <c r="A679" s="17"/>
      <c r="B679" s="17"/>
      <c r="D679" s="18"/>
      <c r="E679" s="18"/>
      <c r="F679" s="18"/>
      <c r="G679" s="18"/>
      <c r="H679" s="58"/>
      <c r="I679" s="21"/>
      <c r="J679" s="22"/>
    </row>
    <row r="680" spans="1:10" ht="13.2" x14ac:dyDescent="0.25">
      <c r="A680" s="17"/>
      <c r="B680" s="17"/>
      <c r="D680" s="18"/>
      <c r="E680" s="18"/>
      <c r="F680" s="18"/>
      <c r="G680" s="18"/>
      <c r="H680" s="58"/>
      <c r="I680" s="21"/>
      <c r="J680" s="22"/>
    </row>
    <row r="681" spans="1:10" ht="13.2" x14ac:dyDescent="0.25">
      <c r="A681" s="17"/>
      <c r="B681" s="17"/>
      <c r="D681" s="18"/>
      <c r="E681" s="18"/>
      <c r="F681" s="18"/>
      <c r="G681" s="18"/>
      <c r="H681" s="58"/>
      <c r="I681" s="21"/>
      <c r="J681" s="22"/>
    </row>
    <row r="682" spans="1:10" ht="13.2" x14ac:dyDescent="0.25">
      <c r="A682" s="17"/>
      <c r="B682" s="17"/>
      <c r="D682" s="18"/>
      <c r="E682" s="18"/>
      <c r="F682" s="18"/>
      <c r="G682" s="18"/>
      <c r="H682" s="58"/>
      <c r="I682" s="21"/>
      <c r="J682" s="22"/>
    </row>
    <row r="683" spans="1:10" ht="13.2" x14ac:dyDescent="0.25">
      <c r="A683" s="17"/>
      <c r="B683" s="17"/>
      <c r="D683" s="18"/>
      <c r="E683" s="18"/>
      <c r="F683" s="18"/>
      <c r="G683" s="18"/>
      <c r="H683" s="58"/>
      <c r="I683" s="21"/>
      <c r="J683" s="22"/>
    </row>
    <row r="684" spans="1:10" ht="13.2" x14ac:dyDescent="0.25">
      <c r="A684" s="17"/>
      <c r="B684" s="17"/>
      <c r="D684" s="18"/>
      <c r="E684" s="18"/>
      <c r="F684" s="18"/>
      <c r="G684" s="18"/>
      <c r="H684" s="58"/>
      <c r="I684" s="21"/>
      <c r="J684" s="22"/>
    </row>
    <row r="685" spans="1:10" ht="13.2" x14ac:dyDescent="0.25">
      <c r="A685" s="17"/>
      <c r="B685" s="17"/>
      <c r="D685" s="18"/>
      <c r="E685" s="18"/>
      <c r="F685" s="18"/>
      <c r="G685" s="18"/>
      <c r="H685" s="58"/>
      <c r="I685" s="21"/>
      <c r="J685" s="22"/>
    </row>
    <row r="686" spans="1:10" ht="13.2" x14ac:dyDescent="0.25">
      <c r="A686" s="17"/>
      <c r="B686" s="17"/>
      <c r="D686" s="18"/>
      <c r="E686" s="18"/>
      <c r="F686" s="18"/>
      <c r="G686" s="18"/>
      <c r="H686" s="58"/>
      <c r="I686" s="21"/>
      <c r="J686" s="22"/>
    </row>
    <row r="687" spans="1:10" ht="13.2" x14ac:dyDescent="0.25">
      <c r="A687" s="17"/>
      <c r="B687" s="17"/>
      <c r="D687" s="18"/>
      <c r="E687" s="18"/>
      <c r="F687" s="18"/>
      <c r="G687" s="18"/>
      <c r="H687" s="58"/>
      <c r="I687" s="21"/>
      <c r="J687" s="22"/>
    </row>
    <row r="688" spans="1:10" ht="13.2" x14ac:dyDescent="0.25">
      <c r="A688" s="17"/>
      <c r="B688" s="17"/>
      <c r="D688" s="18"/>
      <c r="E688" s="18"/>
      <c r="F688" s="18"/>
      <c r="G688" s="18"/>
      <c r="H688" s="58"/>
      <c r="I688" s="21"/>
      <c r="J688" s="22"/>
    </row>
    <row r="689" spans="1:10" ht="13.2" x14ac:dyDescent="0.25">
      <c r="A689" s="17"/>
      <c r="B689" s="17"/>
      <c r="D689" s="18"/>
      <c r="E689" s="18"/>
      <c r="F689" s="18"/>
      <c r="G689" s="18"/>
      <c r="H689" s="58"/>
      <c r="I689" s="21"/>
      <c r="J689" s="22"/>
    </row>
    <row r="690" spans="1:10" ht="13.2" x14ac:dyDescent="0.25">
      <c r="A690" s="17"/>
      <c r="B690" s="17"/>
      <c r="D690" s="18"/>
      <c r="E690" s="18"/>
      <c r="F690" s="18"/>
      <c r="G690" s="18"/>
      <c r="H690" s="58"/>
      <c r="I690" s="21"/>
      <c r="J690" s="22"/>
    </row>
    <row r="691" spans="1:10" ht="13.2" x14ac:dyDescent="0.25">
      <c r="A691" s="17"/>
      <c r="B691" s="17"/>
      <c r="D691" s="18"/>
      <c r="E691" s="18"/>
      <c r="F691" s="18"/>
      <c r="G691" s="18"/>
      <c r="H691" s="58"/>
      <c r="I691" s="21"/>
      <c r="J691" s="22"/>
    </row>
    <row r="692" spans="1:10" ht="13.2" x14ac:dyDescent="0.25">
      <c r="A692" s="17"/>
      <c r="B692" s="17"/>
      <c r="D692" s="18"/>
      <c r="E692" s="18"/>
      <c r="F692" s="18"/>
      <c r="G692" s="18"/>
      <c r="H692" s="58"/>
      <c r="I692" s="21"/>
      <c r="J692" s="22"/>
    </row>
    <row r="693" spans="1:10" ht="13.2" x14ac:dyDescent="0.25">
      <c r="A693" s="17"/>
      <c r="B693" s="17"/>
      <c r="D693" s="18"/>
      <c r="E693" s="18"/>
      <c r="F693" s="18"/>
      <c r="G693" s="18"/>
      <c r="H693" s="58"/>
      <c r="I693" s="21"/>
      <c r="J693" s="22"/>
    </row>
    <row r="694" spans="1:10" ht="13.2" x14ac:dyDescent="0.25">
      <c r="A694" s="17"/>
      <c r="B694" s="17"/>
      <c r="D694" s="18"/>
      <c r="E694" s="18"/>
      <c r="F694" s="18"/>
      <c r="G694" s="18"/>
      <c r="H694" s="58"/>
      <c r="I694" s="21"/>
      <c r="J694" s="22"/>
    </row>
    <row r="695" spans="1:10" ht="13.2" x14ac:dyDescent="0.25">
      <c r="A695" s="17"/>
      <c r="B695" s="17"/>
      <c r="D695" s="18"/>
      <c r="E695" s="18"/>
      <c r="F695" s="18"/>
      <c r="G695" s="18"/>
      <c r="H695" s="58"/>
      <c r="I695" s="21"/>
      <c r="J695" s="22"/>
    </row>
    <row r="696" spans="1:10" ht="13.2" x14ac:dyDescent="0.25">
      <c r="A696" s="17"/>
      <c r="B696" s="17"/>
      <c r="D696" s="18"/>
      <c r="E696" s="18"/>
      <c r="F696" s="18"/>
      <c r="G696" s="18"/>
      <c r="H696" s="58"/>
      <c r="I696" s="21"/>
      <c r="J696" s="22"/>
    </row>
    <row r="697" spans="1:10" ht="13.2" x14ac:dyDescent="0.25">
      <c r="A697" s="17"/>
      <c r="B697" s="17"/>
      <c r="D697" s="18"/>
      <c r="E697" s="18"/>
      <c r="F697" s="18"/>
      <c r="G697" s="18"/>
      <c r="H697" s="58"/>
      <c r="I697" s="21"/>
      <c r="J697" s="22"/>
    </row>
    <row r="698" spans="1:10" ht="13.2" x14ac:dyDescent="0.25">
      <c r="A698" s="17"/>
      <c r="B698" s="17"/>
      <c r="D698" s="18"/>
      <c r="E698" s="18"/>
      <c r="F698" s="18"/>
      <c r="G698" s="18"/>
      <c r="H698" s="58"/>
      <c r="I698" s="21"/>
      <c r="J698" s="22"/>
    </row>
    <row r="699" spans="1:10" ht="13.2" x14ac:dyDescent="0.25">
      <c r="A699" s="17"/>
      <c r="B699" s="17"/>
      <c r="D699" s="18"/>
      <c r="E699" s="18"/>
      <c r="F699" s="18"/>
      <c r="G699" s="18"/>
      <c r="H699" s="58"/>
      <c r="I699" s="21"/>
      <c r="J699" s="22"/>
    </row>
    <row r="700" spans="1:10" ht="13.2" x14ac:dyDescent="0.25">
      <c r="A700" s="17"/>
      <c r="B700" s="17"/>
      <c r="D700" s="18"/>
      <c r="E700" s="18"/>
      <c r="F700" s="18"/>
      <c r="G700" s="18"/>
      <c r="H700" s="58"/>
      <c r="I700" s="21"/>
      <c r="J700" s="22"/>
    </row>
    <row r="701" spans="1:10" ht="13.2" x14ac:dyDescent="0.25">
      <c r="A701" s="17"/>
      <c r="B701" s="17"/>
      <c r="D701" s="18"/>
      <c r="E701" s="18"/>
      <c r="F701" s="18"/>
      <c r="G701" s="18"/>
      <c r="H701" s="58"/>
      <c r="I701" s="21"/>
      <c r="J701" s="22"/>
    </row>
    <row r="702" spans="1:10" ht="13.2" x14ac:dyDescent="0.25">
      <c r="A702" s="17"/>
      <c r="B702" s="17"/>
      <c r="D702" s="18"/>
      <c r="E702" s="18"/>
      <c r="F702" s="18"/>
      <c r="G702" s="18"/>
      <c r="H702" s="58"/>
      <c r="I702" s="21"/>
      <c r="J702" s="22"/>
    </row>
    <row r="703" spans="1:10" ht="13.2" x14ac:dyDescent="0.25">
      <c r="A703" s="17"/>
      <c r="B703" s="17"/>
      <c r="D703" s="18"/>
      <c r="E703" s="18"/>
      <c r="F703" s="18"/>
      <c r="G703" s="18"/>
      <c r="H703" s="58"/>
      <c r="I703" s="21"/>
      <c r="J703" s="22"/>
    </row>
    <row r="704" spans="1:10" ht="13.2" x14ac:dyDescent="0.25">
      <c r="A704" s="17"/>
      <c r="B704" s="17"/>
      <c r="D704" s="18"/>
      <c r="E704" s="18"/>
      <c r="F704" s="18"/>
      <c r="G704" s="18"/>
      <c r="H704" s="58"/>
      <c r="I704" s="21"/>
      <c r="J704" s="22"/>
    </row>
    <row r="705" spans="1:10" ht="13.2" x14ac:dyDescent="0.25">
      <c r="A705" s="17"/>
      <c r="B705" s="17"/>
      <c r="D705" s="18"/>
      <c r="E705" s="18"/>
      <c r="F705" s="18"/>
      <c r="G705" s="18"/>
      <c r="H705" s="58"/>
      <c r="I705" s="21"/>
      <c r="J705" s="22"/>
    </row>
    <row r="706" spans="1:10" ht="13.2" x14ac:dyDescent="0.25">
      <c r="A706" s="17"/>
      <c r="B706" s="17"/>
      <c r="D706" s="18"/>
      <c r="E706" s="18"/>
      <c r="F706" s="18"/>
      <c r="G706" s="18"/>
      <c r="H706" s="58"/>
      <c r="I706" s="21"/>
      <c r="J706" s="22"/>
    </row>
    <row r="707" spans="1:10" ht="13.2" x14ac:dyDescent="0.25">
      <c r="A707" s="17"/>
      <c r="B707" s="17"/>
      <c r="D707" s="18"/>
      <c r="E707" s="18"/>
      <c r="F707" s="18"/>
      <c r="G707" s="18"/>
      <c r="H707" s="58"/>
      <c r="I707" s="21"/>
      <c r="J707" s="22"/>
    </row>
    <row r="708" spans="1:10" ht="13.2" x14ac:dyDescent="0.25">
      <c r="A708" s="17"/>
      <c r="B708" s="17"/>
      <c r="D708" s="18"/>
      <c r="E708" s="18"/>
      <c r="F708" s="18"/>
      <c r="G708" s="18"/>
      <c r="H708" s="58"/>
      <c r="I708" s="21"/>
      <c r="J708" s="22"/>
    </row>
    <row r="709" spans="1:10" ht="13.2" x14ac:dyDescent="0.25">
      <c r="A709" s="17"/>
      <c r="B709" s="17"/>
      <c r="D709" s="18"/>
      <c r="E709" s="18"/>
      <c r="F709" s="18"/>
      <c r="G709" s="18"/>
      <c r="H709" s="58"/>
      <c r="I709" s="21"/>
      <c r="J709" s="22"/>
    </row>
    <row r="710" spans="1:10" ht="13.2" x14ac:dyDescent="0.25">
      <c r="A710" s="17"/>
      <c r="B710" s="17"/>
      <c r="D710" s="18"/>
      <c r="E710" s="18"/>
      <c r="F710" s="18"/>
      <c r="G710" s="18"/>
      <c r="H710" s="58"/>
      <c r="I710" s="21"/>
      <c r="J710" s="22"/>
    </row>
    <row r="711" spans="1:10" ht="13.2" x14ac:dyDescent="0.25">
      <c r="A711" s="17"/>
      <c r="B711" s="17"/>
      <c r="D711" s="18"/>
      <c r="E711" s="18"/>
      <c r="F711" s="18"/>
      <c r="G711" s="18"/>
      <c r="H711" s="58"/>
      <c r="I711" s="21"/>
      <c r="J711" s="22"/>
    </row>
    <row r="712" spans="1:10" ht="13.2" x14ac:dyDescent="0.25">
      <c r="A712" s="17"/>
      <c r="B712" s="17"/>
      <c r="D712" s="18"/>
      <c r="E712" s="18"/>
      <c r="F712" s="18"/>
      <c r="G712" s="18"/>
      <c r="H712" s="58"/>
      <c r="I712" s="21"/>
      <c r="J712" s="22"/>
    </row>
    <row r="713" spans="1:10" ht="13.2" x14ac:dyDescent="0.25">
      <c r="A713" s="17"/>
      <c r="B713" s="17"/>
      <c r="D713" s="18"/>
      <c r="E713" s="18"/>
      <c r="F713" s="18"/>
      <c r="G713" s="18"/>
      <c r="H713" s="58"/>
      <c r="I713" s="21"/>
      <c r="J713" s="22"/>
    </row>
    <row r="714" spans="1:10" ht="13.2" x14ac:dyDescent="0.25">
      <c r="A714" s="17"/>
      <c r="B714" s="17"/>
      <c r="D714" s="18"/>
      <c r="E714" s="18"/>
      <c r="F714" s="18"/>
      <c r="G714" s="18"/>
      <c r="H714" s="58"/>
      <c r="I714" s="21"/>
      <c r="J714" s="22"/>
    </row>
    <row r="715" spans="1:10" ht="13.2" x14ac:dyDescent="0.25">
      <c r="A715" s="17"/>
      <c r="B715" s="17"/>
      <c r="D715" s="18"/>
      <c r="E715" s="18"/>
      <c r="F715" s="18"/>
      <c r="G715" s="18"/>
      <c r="H715" s="58"/>
      <c r="I715" s="21"/>
      <c r="J715" s="22"/>
    </row>
    <row r="716" spans="1:10" ht="13.2" x14ac:dyDescent="0.25">
      <c r="A716" s="17"/>
      <c r="B716" s="17"/>
      <c r="D716" s="18"/>
      <c r="E716" s="18"/>
      <c r="F716" s="18"/>
      <c r="G716" s="18"/>
      <c r="H716" s="58"/>
      <c r="I716" s="21"/>
      <c r="J716" s="22"/>
    </row>
    <row r="717" spans="1:10" ht="13.2" x14ac:dyDescent="0.25">
      <c r="A717" s="17"/>
      <c r="B717" s="17"/>
      <c r="D717" s="18"/>
      <c r="E717" s="18"/>
      <c r="F717" s="18"/>
      <c r="G717" s="18"/>
      <c r="H717" s="58"/>
      <c r="I717" s="21"/>
      <c r="J717" s="22"/>
    </row>
    <row r="718" spans="1:10" ht="13.2" x14ac:dyDescent="0.25">
      <c r="A718" s="17"/>
      <c r="B718" s="17"/>
      <c r="D718" s="18"/>
      <c r="E718" s="18"/>
      <c r="F718" s="18"/>
      <c r="G718" s="18"/>
      <c r="H718" s="58"/>
      <c r="I718" s="21"/>
      <c r="J718" s="22"/>
    </row>
    <row r="719" spans="1:10" ht="13.2" x14ac:dyDescent="0.25">
      <c r="A719" s="17"/>
      <c r="B719" s="17"/>
      <c r="D719" s="18"/>
      <c r="E719" s="18"/>
      <c r="F719" s="18"/>
      <c r="G719" s="18"/>
      <c r="H719" s="58"/>
      <c r="I719" s="21"/>
      <c r="J719" s="22"/>
    </row>
    <row r="720" spans="1:10" ht="13.2" x14ac:dyDescent="0.25">
      <c r="A720" s="17"/>
      <c r="B720" s="17"/>
      <c r="D720" s="18"/>
      <c r="E720" s="18"/>
      <c r="F720" s="18"/>
      <c r="G720" s="18"/>
      <c r="H720" s="58"/>
      <c r="I720" s="21"/>
      <c r="J720" s="22"/>
    </row>
    <row r="721" spans="1:10" ht="13.2" x14ac:dyDescent="0.25">
      <c r="A721" s="17"/>
      <c r="B721" s="17"/>
      <c r="D721" s="18"/>
      <c r="E721" s="18"/>
      <c r="F721" s="18"/>
      <c r="G721" s="18"/>
      <c r="H721" s="58"/>
      <c r="I721" s="21"/>
      <c r="J721" s="22"/>
    </row>
    <row r="722" spans="1:10" ht="13.2" x14ac:dyDescent="0.25">
      <c r="A722" s="17"/>
      <c r="B722" s="17"/>
      <c r="D722" s="18"/>
      <c r="E722" s="18"/>
      <c r="F722" s="18"/>
      <c r="G722" s="18"/>
      <c r="H722" s="58"/>
      <c r="I722" s="21"/>
      <c r="J722" s="22"/>
    </row>
    <row r="723" spans="1:10" ht="13.2" x14ac:dyDescent="0.25">
      <c r="A723" s="17"/>
      <c r="B723" s="17"/>
      <c r="D723" s="18"/>
      <c r="E723" s="18"/>
      <c r="F723" s="18"/>
      <c r="G723" s="18"/>
      <c r="H723" s="58"/>
      <c r="I723" s="21"/>
      <c r="J723" s="22"/>
    </row>
    <row r="724" spans="1:10" ht="13.2" x14ac:dyDescent="0.25">
      <c r="A724" s="17"/>
      <c r="B724" s="17"/>
      <c r="D724" s="18"/>
      <c r="E724" s="18"/>
      <c r="F724" s="18"/>
      <c r="G724" s="18"/>
      <c r="H724" s="58"/>
      <c r="I724" s="21"/>
      <c r="J724" s="22"/>
    </row>
    <row r="725" spans="1:10" ht="13.2" x14ac:dyDescent="0.25">
      <c r="A725" s="17"/>
      <c r="B725" s="17"/>
      <c r="D725" s="18"/>
      <c r="E725" s="18"/>
      <c r="F725" s="18"/>
      <c r="G725" s="18"/>
      <c r="H725" s="58"/>
      <c r="I725" s="21"/>
      <c r="J725" s="22"/>
    </row>
    <row r="726" spans="1:10" ht="13.2" x14ac:dyDescent="0.25">
      <c r="A726" s="17"/>
      <c r="B726" s="17"/>
      <c r="D726" s="18"/>
      <c r="E726" s="18"/>
      <c r="F726" s="18"/>
      <c r="G726" s="18"/>
      <c r="H726" s="58"/>
      <c r="I726" s="21"/>
      <c r="J726" s="22"/>
    </row>
    <row r="727" spans="1:10" ht="13.2" x14ac:dyDescent="0.25">
      <c r="A727" s="17"/>
      <c r="B727" s="17"/>
      <c r="D727" s="18"/>
      <c r="E727" s="18"/>
      <c r="F727" s="18"/>
      <c r="G727" s="18"/>
      <c r="H727" s="58"/>
      <c r="I727" s="21"/>
      <c r="J727" s="22"/>
    </row>
    <row r="728" spans="1:10" ht="13.2" x14ac:dyDescent="0.25">
      <c r="A728" s="17"/>
      <c r="B728" s="17"/>
      <c r="D728" s="18"/>
      <c r="E728" s="18"/>
      <c r="F728" s="18"/>
      <c r="G728" s="18"/>
      <c r="H728" s="58"/>
      <c r="I728" s="21"/>
      <c r="J728" s="22"/>
    </row>
    <row r="729" spans="1:10" ht="13.2" x14ac:dyDescent="0.25">
      <c r="A729" s="17"/>
      <c r="B729" s="17"/>
      <c r="D729" s="18"/>
      <c r="E729" s="18"/>
      <c r="F729" s="18"/>
      <c r="G729" s="18"/>
      <c r="H729" s="58"/>
      <c r="I729" s="21"/>
      <c r="J729" s="22"/>
    </row>
    <row r="730" spans="1:10" ht="13.2" x14ac:dyDescent="0.25">
      <c r="A730" s="17"/>
      <c r="B730" s="17"/>
      <c r="D730" s="18"/>
      <c r="E730" s="18"/>
      <c r="F730" s="18"/>
      <c r="G730" s="18"/>
      <c r="H730" s="58"/>
      <c r="I730" s="21"/>
      <c r="J730" s="22"/>
    </row>
    <row r="731" spans="1:10" ht="13.2" x14ac:dyDescent="0.25">
      <c r="A731" s="17"/>
      <c r="B731" s="17"/>
      <c r="D731" s="18"/>
      <c r="E731" s="18"/>
      <c r="F731" s="18"/>
      <c r="G731" s="18"/>
      <c r="H731" s="58"/>
      <c r="I731" s="21"/>
      <c r="J731" s="22"/>
    </row>
    <row r="732" spans="1:10" ht="13.2" x14ac:dyDescent="0.25">
      <c r="A732" s="17"/>
      <c r="B732" s="17"/>
      <c r="D732" s="18"/>
      <c r="E732" s="18"/>
      <c r="F732" s="18"/>
      <c r="G732" s="18"/>
      <c r="H732" s="58"/>
      <c r="I732" s="21"/>
      <c r="J732" s="22"/>
    </row>
    <row r="733" spans="1:10" ht="13.2" x14ac:dyDescent="0.25">
      <c r="A733" s="17"/>
      <c r="B733" s="17"/>
      <c r="D733" s="18"/>
      <c r="E733" s="18"/>
      <c r="F733" s="18"/>
      <c r="G733" s="18"/>
      <c r="H733" s="58"/>
      <c r="I733" s="21"/>
      <c r="J733" s="22"/>
    </row>
    <row r="734" spans="1:10" ht="13.2" x14ac:dyDescent="0.25">
      <c r="A734" s="17"/>
      <c r="B734" s="17"/>
      <c r="D734" s="18"/>
      <c r="E734" s="18"/>
      <c r="F734" s="18"/>
      <c r="G734" s="18"/>
      <c r="H734" s="58"/>
      <c r="I734" s="21"/>
      <c r="J734" s="22"/>
    </row>
    <row r="735" spans="1:10" ht="13.2" x14ac:dyDescent="0.25">
      <c r="A735" s="17"/>
      <c r="B735" s="17"/>
      <c r="D735" s="18"/>
      <c r="E735" s="18"/>
      <c r="F735" s="18"/>
      <c r="G735" s="18"/>
      <c r="H735" s="58"/>
      <c r="I735" s="21"/>
      <c r="J735" s="22"/>
    </row>
    <row r="736" spans="1:10" ht="13.2" x14ac:dyDescent="0.25">
      <c r="A736" s="17"/>
      <c r="B736" s="17"/>
      <c r="D736" s="18"/>
      <c r="E736" s="18"/>
      <c r="F736" s="18"/>
      <c r="G736" s="18"/>
      <c r="H736" s="58"/>
      <c r="I736" s="21"/>
      <c r="J736" s="22"/>
    </row>
    <row r="737" spans="1:10" ht="13.2" x14ac:dyDescent="0.25">
      <c r="A737" s="17"/>
      <c r="B737" s="17"/>
      <c r="D737" s="18"/>
      <c r="E737" s="18"/>
      <c r="F737" s="18"/>
      <c r="G737" s="18"/>
      <c r="H737" s="58"/>
      <c r="I737" s="21"/>
      <c r="J737" s="22"/>
    </row>
    <row r="738" spans="1:10" ht="13.2" x14ac:dyDescent="0.25">
      <c r="A738" s="17"/>
      <c r="B738" s="17"/>
      <c r="D738" s="18"/>
      <c r="E738" s="18"/>
      <c r="F738" s="18"/>
      <c r="G738" s="18"/>
      <c r="H738" s="58"/>
      <c r="I738" s="21"/>
      <c r="J738" s="22"/>
    </row>
    <row r="739" spans="1:10" ht="13.2" x14ac:dyDescent="0.25">
      <c r="A739" s="17"/>
      <c r="B739" s="17"/>
      <c r="D739" s="18"/>
      <c r="E739" s="18"/>
      <c r="F739" s="18"/>
      <c r="G739" s="18"/>
      <c r="H739" s="58"/>
      <c r="I739" s="21"/>
      <c r="J739" s="22"/>
    </row>
    <row r="740" spans="1:10" ht="13.2" x14ac:dyDescent="0.25">
      <c r="A740" s="17"/>
      <c r="B740" s="17"/>
      <c r="D740" s="18"/>
      <c r="E740" s="18"/>
      <c r="F740" s="18"/>
      <c r="G740" s="18"/>
      <c r="H740" s="58"/>
      <c r="I740" s="21"/>
      <c r="J740" s="22"/>
    </row>
    <row r="741" spans="1:10" ht="13.2" x14ac:dyDescent="0.25">
      <c r="A741" s="17"/>
      <c r="B741" s="17"/>
      <c r="D741" s="18"/>
      <c r="E741" s="18"/>
      <c r="F741" s="18"/>
      <c r="G741" s="18"/>
      <c r="H741" s="58"/>
      <c r="I741" s="21"/>
      <c r="J741" s="22"/>
    </row>
    <row r="742" spans="1:10" ht="13.2" x14ac:dyDescent="0.25">
      <c r="A742" s="17"/>
      <c r="B742" s="17"/>
      <c r="D742" s="18"/>
      <c r="E742" s="18"/>
      <c r="F742" s="18"/>
      <c r="G742" s="18"/>
      <c r="H742" s="58"/>
      <c r="I742" s="21"/>
      <c r="J742" s="22"/>
    </row>
    <row r="743" spans="1:10" ht="13.2" x14ac:dyDescent="0.25">
      <c r="A743" s="17"/>
      <c r="B743" s="17"/>
      <c r="D743" s="18"/>
      <c r="E743" s="18"/>
      <c r="F743" s="18"/>
      <c r="G743" s="18"/>
      <c r="H743" s="58"/>
      <c r="I743" s="21"/>
      <c r="J743" s="22"/>
    </row>
    <row r="744" spans="1:10" ht="13.2" x14ac:dyDescent="0.25">
      <c r="A744" s="17"/>
      <c r="B744" s="17"/>
      <c r="D744" s="18"/>
      <c r="E744" s="18"/>
      <c r="F744" s="18"/>
      <c r="G744" s="18"/>
      <c r="H744" s="58"/>
      <c r="I744" s="21"/>
      <c r="J744" s="22"/>
    </row>
    <row r="745" spans="1:10" ht="13.2" x14ac:dyDescent="0.25">
      <c r="A745" s="17"/>
      <c r="B745" s="17"/>
      <c r="D745" s="18"/>
      <c r="E745" s="18"/>
      <c r="F745" s="18"/>
      <c r="G745" s="18"/>
      <c r="H745" s="58"/>
      <c r="I745" s="21"/>
      <c r="J745" s="22"/>
    </row>
    <row r="746" spans="1:10" ht="13.2" x14ac:dyDescent="0.25">
      <c r="A746" s="17"/>
      <c r="B746" s="17"/>
      <c r="D746" s="18"/>
      <c r="E746" s="18"/>
      <c r="F746" s="18"/>
      <c r="G746" s="18"/>
      <c r="H746" s="58"/>
      <c r="I746" s="21"/>
      <c r="J746" s="22"/>
    </row>
    <row r="747" spans="1:10" ht="13.2" x14ac:dyDescent="0.25">
      <c r="A747" s="17"/>
      <c r="B747" s="17"/>
      <c r="D747" s="18"/>
      <c r="E747" s="18"/>
      <c r="F747" s="18"/>
      <c r="G747" s="18"/>
      <c r="H747" s="58"/>
      <c r="I747" s="21"/>
      <c r="J747" s="22"/>
    </row>
    <row r="748" spans="1:10" ht="13.2" x14ac:dyDescent="0.25">
      <c r="A748" s="17"/>
      <c r="B748" s="17"/>
      <c r="D748" s="18"/>
      <c r="E748" s="18"/>
      <c r="F748" s="18"/>
      <c r="G748" s="18"/>
      <c r="H748" s="58"/>
      <c r="I748" s="21"/>
      <c r="J748" s="22"/>
    </row>
    <row r="749" spans="1:10" ht="13.2" x14ac:dyDescent="0.25">
      <c r="A749" s="17"/>
      <c r="B749" s="17"/>
      <c r="D749" s="18"/>
      <c r="E749" s="18"/>
      <c r="F749" s="18"/>
      <c r="G749" s="18"/>
      <c r="H749" s="58"/>
      <c r="I749" s="21"/>
      <c r="J749" s="22"/>
    </row>
    <row r="750" spans="1:10" ht="13.2" x14ac:dyDescent="0.25">
      <c r="A750" s="17"/>
      <c r="B750" s="17"/>
      <c r="D750" s="18"/>
      <c r="E750" s="18"/>
      <c r="F750" s="18"/>
      <c r="G750" s="18"/>
      <c r="H750" s="58"/>
      <c r="I750" s="21"/>
      <c r="J750" s="22"/>
    </row>
    <row r="751" spans="1:10" ht="13.2" x14ac:dyDescent="0.25">
      <c r="A751" s="17"/>
      <c r="B751" s="17"/>
      <c r="D751" s="18"/>
      <c r="E751" s="18"/>
      <c r="F751" s="18"/>
      <c r="G751" s="18"/>
      <c r="H751" s="58"/>
      <c r="I751" s="21"/>
      <c r="J751" s="22"/>
    </row>
    <row r="752" spans="1:10" ht="13.2" x14ac:dyDescent="0.25">
      <c r="A752" s="17"/>
      <c r="B752" s="17"/>
      <c r="D752" s="18"/>
      <c r="E752" s="18"/>
      <c r="F752" s="18"/>
      <c r="G752" s="18"/>
      <c r="H752" s="58"/>
      <c r="I752" s="21"/>
      <c r="J752" s="22"/>
    </row>
    <row r="753" spans="1:10" ht="13.2" x14ac:dyDescent="0.25">
      <c r="A753" s="17"/>
      <c r="B753" s="17"/>
      <c r="D753" s="18"/>
      <c r="E753" s="18"/>
      <c r="F753" s="18"/>
      <c r="G753" s="18"/>
      <c r="H753" s="58"/>
      <c r="I753" s="21"/>
      <c r="J753" s="22"/>
    </row>
    <row r="754" spans="1:10" ht="13.2" x14ac:dyDescent="0.25">
      <c r="A754" s="17"/>
      <c r="B754" s="17"/>
      <c r="D754" s="18"/>
      <c r="E754" s="18"/>
      <c r="F754" s="18"/>
      <c r="G754" s="18"/>
      <c r="H754" s="58"/>
      <c r="I754" s="21"/>
      <c r="J754" s="22"/>
    </row>
    <row r="755" spans="1:10" ht="13.2" x14ac:dyDescent="0.25">
      <c r="A755" s="17"/>
      <c r="B755" s="17"/>
      <c r="D755" s="18"/>
      <c r="E755" s="18"/>
      <c r="F755" s="18"/>
      <c r="G755" s="18"/>
      <c r="H755" s="58"/>
      <c r="I755" s="21"/>
      <c r="J755" s="22"/>
    </row>
    <row r="756" spans="1:10" ht="13.2" x14ac:dyDescent="0.25">
      <c r="A756" s="17"/>
      <c r="B756" s="17"/>
      <c r="D756" s="18"/>
      <c r="E756" s="18"/>
      <c r="F756" s="18"/>
      <c r="G756" s="18"/>
      <c r="H756" s="58"/>
      <c r="I756" s="21"/>
      <c r="J756" s="22"/>
    </row>
    <row r="757" spans="1:10" ht="13.2" x14ac:dyDescent="0.25">
      <c r="A757" s="17"/>
      <c r="B757" s="17"/>
      <c r="D757" s="18"/>
      <c r="E757" s="18"/>
      <c r="F757" s="18"/>
      <c r="G757" s="18"/>
      <c r="H757" s="58"/>
      <c r="I757" s="21"/>
      <c r="J757" s="22"/>
    </row>
    <row r="758" spans="1:10" ht="13.2" x14ac:dyDescent="0.25">
      <c r="A758" s="17"/>
      <c r="B758" s="17"/>
      <c r="D758" s="18"/>
      <c r="E758" s="18"/>
      <c r="F758" s="18"/>
      <c r="G758" s="18"/>
      <c r="H758" s="58"/>
      <c r="I758" s="21"/>
      <c r="J758" s="22"/>
    </row>
    <row r="759" spans="1:10" ht="13.2" x14ac:dyDescent="0.25">
      <c r="A759" s="17"/>
      <c r="B759" s="17"/>
      <c r="D759" s="18"/>
      <c r="E759" s="18"/>
      <c r="F759" s="18"/>
      <c r="G759" s="18"/>
      <c r="H759" s="58"/>
      <c r="I759" s="21"/>
      <c r="J759" s="22"/>
    </row>
    <row r="760" spans="1:10" ht="13.2" x14ac:dyDescent="0.25">
      <c r="A760" s="17"/>
      <c r="B760" s="17"/>
      <c r="D760" s="18"/>
      <c r="E760" s="18"/>
      <c r="F760" s="18"/>
      <c r="G760" s="18"/>
      <c r="H760" s="58"/>
      <c r="I760" s="21"/>
      <c r="J760" s="22"/>
    </row>
    <row r="761" spans="1:10" ht="13.2" x14ac:dyDescent="0.25">
      <c r="A761" s="17"/>
      <c r="B761" s="17"/>
      <c r="D761" s="18"/>
      <c r="E761" s="18"/>
      <c r="F761" s="18"/>
      <c r="G761" s="18"/>
      <c r="H761" s="58"/>
      <c r="I761" s="21"/>
      <c r="J761" s="22"/>
    </row>
    <row r="762" spans="1:10" ht="13.2" x14ac:dyDescent="0.25">
      <c r="A762" s="17"/>
      <c r="B762" s="17"/>
      <c r="D762" s="18"/>
      <c r="E762" s="18"/>
      <c r="F762" s="18"/>
      <c r="G762" s="18"/>
      <c r="H762" s="58"/>
      <c r="I762" s="21"/>
      <c r="J762" s="22"/>
    </row>
    <row r="763" spans="1:10" ht="13.2" x14ac:dyDescent="0.25">
      <c r="A763" s="17"/>
      <c r="B763" s="17"/>
      <c r="D763" s="18"/>
      <c r="E763" s="18"/>
      <c r="F763" s="18"/>
      <c r="G763" s="18"/>
      <c r="H763" s="58"/>
      <c r="I763" s="21"/>
      <c r="J763" s="22"/>
    </row>
    <row r="764" spans="1:10" ht="13.2" x14ac:dyDescent="0.25">
      <c r="A764" s="17"/>
      <c r="B764" s="17"/>
      <c r="D764" s="18"/>
      <c r="E764" s="18"/>
      <c r="F764" s="18"/>
      <c r="G764" s="18"/>
      <c r="H764" s="58"/>
      <c r="I764" s="21"/>
      <c r="J764" s="22"/>
    </row>
    <row r="765" spans="1:10" ht="13.2" x14ac:dyDescent="0.25">
      <c r="A765" s="17"/>
      <c r="B765" s="17"/>
      <c r="D765" s="18"/>
      <c r="E765" s="18"/>
      <c r="F765" s="18"/>
      <c r="G765" s="18"/>
      <c r="H765" s="58"/>
      <c r="I765" s="21"/>
      <c r="J765" s="22"/>
    </row>
    <row r="766" spans="1:10" ht="13.2" x14ac:dyDescent="0.25">
      <c r="A766" s="17"/>
      <c r="B766" s="17"/>
      <c r="D766" s="18"/>
      <c r="E766" s="18"/>
      <c r="F766" s="18"/>
      <c r="G766" s="18"/>
      <c r="H766" s="58"/>
      <c r="I766" s="21"/>
      <c r="J766" s="22"/>
    </row>
    <row r="767" spans="1:10" ht="13.2" x14ac:dyDescent="0.25">
      <c r="A767" s="17"/>
      <c r="B767" s="17"/>
      <c r="D767" s="18"/>
      <c r="E767" s="18"/>
      <c r="F767" s="18"/>
      <c r="G767" s="18"/>
      <c r="H767" s="58"/>
      <c r="I767" s="21"/>
      <c r="J767" s="22"/>
    </row>
    <row r="768" spans="1:10" ht="13.2" x14ac:dyDescent="0.25">
      <c r="A768" s="17"/>
      <c r="B768" s="17"/>
      <c r="D768" s="18"/>
      <c r="E768" s="18"/>
      <c r="F768" s="18"/>
      <c r="G768" s="18"/>
      <c r="H768" s="58"/>
      <c r="I768" s="21"/>
      <c r="J768" s="22"/>
    </row>
    <row r="769" spans="1:10" ht="13.2" x14ac:dyDescent="0.25">
      <c r="A769" s="17"/>
      <c r="B769" s="17"/>
      <c r="D769" s="18"/>
      <c r="E769" s="18"/>
      <c r="F769" s="18"/>
      <c r="G769" s="18"/>
      <c r="H769" s="58"/>
      <c r="I769" s="21"/>
      <c r="J769" s="22"/>
    </row>
    <row r="770" spans="1:10" ht="13.2" x14ac:dyDescent="0.25">
      <c r="A770" s="17"/>
      <c r="B770" s="17"/>
      <c r="D770" s="18"/>
      <c r="E770" s="18"/>
      <c r="F770" s="18"/>
      <c r="G770" s="18"/>
      <c r="H770" s="58"/>
      <c r="I770" s="21"/>
      <c r="J770" s="22"/>
    </row>
    <row r="771" spans="1:10" ht="13.2" x14ac:dyDescent="0.25">
      <c r="A771" s="17"/>
      <c r="B771" s="17"/>
      <c r="D771" s="18"/>
      <c r="E771" s="18"/>
      <c r="F771" s="18"/>
      <c r="G771" s="18"/>
      <c r="H771" s="58"/>
      <c r="I771" s="21"/>
      <c r="J771" s="22"/>
    </row>
    <row r="772" spans="1:10" ht="13.2" x14ac:dyDescent="0.25">
      <c r="A772" s="17"/>
      <c r="B772" s="17"/>
      <c r="D772" s="18"/>
      <c r="E772" s="18"/>
      <c r="F772" s="18"/>
      <c r="G772" s="18"/>
      <c r="H772" s="58"/>
      <c r="I772" s="21"/>
      <c r="J772" s="22"/>
    </row>
    <row r="773" spans="1:10" ht="13.2" x14ac:dyDescent="0.25">
      <c r="A773" s="17"/>
      <c r="B773" s="17"/>
      <c r="D773" s="18"/>
      <c r="E773" s="18"/>
      <c r="F773" s="18"/>
      <c r="G773" s="18"/>
      <c r="H773" s="58"/>
      <c r="I773" s="21"/>
      <c r="J773" s="22"/>
    </row>
    <row r="774" spans="1:10" ht="13.2" x14ac:dyDescent="0.25">
      <c r="A774" s="17"/>
      <c r="B774" s="17"/>
      <c r="D774" s="18"/>
      <c r="E774" s="18"/>
      <c r="F774" s="18"/>
      <c r="G774" s="18"/>
      <c r="H774" s="58"/>
      <c r="I774" s="21"/>
      <c r="J774" s="22"/>
    </row>
    <row r="775" spans="1:10" ht="13.2" x14ac:dyDescent="0.25">
      <c r="A775" s="17"/>
      <c r="B775" s="17"/>
      <c r="D775" s="18"/>
      <c r="E775" s="18"/>
      <c r="F775" s="18"/>
      <c r="G775" s="18"/>
      <c r="H775" s="58"/>
      <c r="I775" s="21"/>
      <c r="J775" s="22"/>
    </row>
    <row r="776" spans="1:10" ht="13.2" x14ac:dyDescent="0.25">
      <c r="A776" s="17"/>
      <c r="B776" s="17"/>
      <c r="D776" s="18"/>
      <c r="E776" s="18"/>
      <c r="F776" s="18"/>
      <c r="G776" s="18"/>
      <c r="H776" s="58"/>
      <c r="I776" s="21"/>
      <c r="J776" s="22"/>
    </row>
    <row r="777" spans="1:10" ht="13.2" x14ac:dyDescent="0.25">
      <c r="A777" s="17"/>
      <c r="B777" s="17"/>
      <c r="D777" s="18"/>
      <c r="E777" s="18"/>
      <c r="F777" s="18"/>
      <c r="G777" s="18"/>
      <c r="H777" s="58"/>
      <c r="I777" s="21"/>
      <c r="J777" s="22"/>
    </row>
    <row r="778" spans="1:10" ht="13.2" x14ac:dyDescent="0.25">
      <c r="A778" s="17"/>
      <c r="B778" s="17"/>
      <c r="D778" s="18"/>
      <c r="E778" s="18"/>
      <c r="F778" s="18"/>
      <c r="G778" s="18"/>
      <c r="H778" s="58"/>
      <c r="I778" s="21"/>
      <c r="J778" s="22"/>
    </row>
    <row r="779" spans="1:10" ht="13.2" x14ac:dyDescent="0.25">
      <c r="A779" s="17"/>
      <c r="B779" s="17"/>
      <c r="D779" s="18"/>
      <c r="E779" s="18"/>
      <c r="F779" s="18"/>
      <c r="G779" s="18"/>
      <c r="H779" s="58"/>
      <c r="I779" s="21"/>
      <c r="J779" s="22"/>
    </row>
    <row r="780" spans="1:10" ht="13.2" x14ac:dyDescent="0.25">
      <c r="A780" s="17"/>
      <c r="B780" s="17"/>
      <c r="D780" s="18"/>
      <c r="E780" s="18"/>
      <c r="F780" s="18"/>
      <c r="G780" s="18"/>
      <c r="H780" s="58"/>
      <c r="I780" s="21"/>
      <c r="J780" s="22"/>
    </row>
    <row r="781" spans="1:10" ht="13.2" x14ac:dyDescent="0.25">
      <c r="A781" s="17"/>
      <c r="B781" s="17"/>
      <c r="D781" s="18"/>
      <c r="E781" s="18"/>
      <c r="F781" s="18"/>
      <c r="G781" s="18"/>
      <c r="H781" s="58"/>
      <c r="I781" s="21"/>
      <c r="J781" s="22"/>
    </row>
    <row r="782" spans="1:10" ht="13.2" x14ac:dyDescent="0.25">
      <c r="A782" s="17"/>
      <c r="B782" s="17"/>
      <c r="D782" s="18"/>
      <c r="E782" s="18"/>
      <c r="F782" s="18"/>
      <c r="G782" s="18"/>
      <c r="H782" s="58"/>
      <c r="I782" s="21"/>
      <c r="J782" s="22"/>
    </row>
    <row r="783" spans="1:10" ht="13.2" x14ac:dyDescent="0.25">
      <c r="A783" s="17"/>
      <c r="B783" s="17"/>
      <c r="D783" s="18"/>
      <c r="E783" s="18"/>
      <c r="F783" s="18"/>
      <c r="G783" s="18"/>
      <c r="H783" s="58"/>
      <c r="I783" s="21"/>
      <c r="J783" s="22"/>
    </row>
    <row r="784" spans="1:10" ht="13.2" x14ac:dyDescent="0.25">
      <c r="A784" s="17"/>
      <c r="B784" s="17"/>
      <c r="D784" s="18"/>
      <c r="E784" s="18"/>
      <c r="F784" s="18"/>
      <c r="G784" s="18"/>
      <c r="H784" s="58"/>
      <c r="I784" s="21"/>
      <c r="J784" s="22"/>
    </row>
    <row r="785" spans="1:10" ht="13.2" x14ac:dyDescent="0.25">
      <c r="A785" s="17"/>
      <c r="B785" s="17"/>
      <c r="D785" s="18"/>
      <c r="E785" s="18"/>
      <c r="F785" s="18"/>
      <c r="G785" s="18"/>
      <c r="H785" s="58"/>
      <c r="I785" s="21"/>
      <c r="J785" s="22"/>
    </row>
    <row r="786" spans="1:10" ht="13.2" x14ac:dyDescent="0.25">
      <c r="A786" s="17"/>
      <c r="B786" s="17"/>
      <c r="D786" s="18"/>
      <c r="E786" s="18"/>
      <c r="F786" s="18"/>
      <c r="G786" s="18"/>
      <c r="H786" s="58"/>
      <c r="I786" s="21"/>
      <c r="J786" s="22"/>
    </row>
    <row r="787" spans="1:10" ht="13.2" x14ac:dyDescent="0.25">
      <c r="A787" s="17"/>
      <c r="B787" s="17"/>
      <c r="D787" s="18"/>
      <c r="E787" s="18"/>
      <c r="F787" s="18"/>
      <c r="G787" s="18"/>
      <c r="H787" s="58"/>
      <c r="I787" s="21"/>
      <c r="J787" s="22"/>
    </row>
    <row r="788" spans="1:10" ht="13.2" x14ac:dyDescent="0.25">
      <c r="A788" s="17"/>
      <c r="B788" s="17"/>
      <c r="D788" s="18"/>
      <c r="E788" s="18"/>
      <c r="F788" s="18"/>
      <c r="G788" s="18"/>
      <c r="H788" s="58"/>
      <c r="I788" s="21"/>
      <c r="J788" s="22"/>
    </row>
    <row r="789" spans="1:10" ht="13.2" x14ac:dyDescent="0.25">
      <c r="A789" s="17"/>
      <c r="B789" s="17"/>
      <c r="D789" s="18"/>
      <c r="E789" s="18"/>
      <c r="F789" s="18"/>
      <c r="G789" s="18"/>
      <c r="H789" s="58"/>
      <c r="I789" s="21"/>
      <c r="J789" s="22"/>
    </row>
    <row r="790" spans="1:10" ht="13.2" x14ac:dyDescent="0.25">
      <c r="A790" s="17"/>
      <c r="B790" s="17"/>
      <c r="D790" s="18"/>
      <c r="E790" s="18"/>
      <c r="F790" s="18"/>
      <c r="G790" s="18"/>
      <c r="H790" s="58"/>
      <c r="I790" s="21"/>
      <c r="J790" s="22"/>
    </row>
    <row r="791" spans="1:10" ht="13.2" x14ac:dyDescent="0.25">
      <c r="A791" s="17"/>
      <c r="B791" s="17"/>
      <c r="D791" s="18"/>
      <c r="E791" s="18"/>
      <c r="F791" s="18"/>
      <c r="G791" s="18"/>
      <c r="H791" s="58"/>
      <c r="I791" s="21"/>
      <c r="J791" s="22"/>
    </row>
    <row r="792" spans="1:10" ht="13.2" x14ac:dyDescent="0.25">
      <c r="A792" s="17"/>
      <c r="B792" s="17"/>
      <c r="D792" s="18"/>
      <c r="E792" s="18"/>
      <c r="F792" s="18"/>
      <c r="G792" s="18"/>
      <c r="H792" s="58"/>
      <c r="I792" s="21"/>
      <c r="J792" s="22"/>
    </row>
    <row r="793" spans="1:10" ht="13.2" x14ac:dyDescent="0.25">
      <c r="A793" s="17"/>
      <c r="B793" s="17"/>
      <c r="D793" s="18"/>
      <c r="E793" s="18"/>
      <c r="F793" s="18"/>
      <c r="G793" s="18"/>
      <c r="H793" s="58"/>
      <c r="I793" s="21"/>
      <c r="J793" s="22"/>
    </row>
    <row r="794" spans="1:10" ht="13.2" x14ac:dyDescent="0.25">
      <c r="A794" s="17"/>
      <c r="B794" s="17"/>
      <c r="D794" s="18"/>
      <c r="E794" s="18"/>
      <c r="F794" s="18"/>
      <c r="G794" s="18"/>
      <c r="H794" s="58"/>
      <c r="I794" s="21"/>
      <c r="J794" s="22"/>
    </row>
    <row r="795" spans="1:10" ht="13.2" x14ac:dyDescent="0.25">
      <c r="A795" s="17"/>
      <c r="B795" s="17"/>
      <c r="D795" s="18"/>
      <c r="E795" s="18"/>
      <c r="F795" s="18"/>
      <c r="G795" s="18"/>
      <c r="H795" s="58"/>
      <c r="I795" s="21"/>
      <c r="J795" s="22"/>
    </row>
    <row r="796" spans="1:10" ht="13.2" x14ac:dyDescent="0.25">
      <c r="A796" s="17"/>
      <c r="B796" s="17"/>
      <c r="D796" s="18"/>
      <c r="E796" s="18"/>
      <c r="F796" s="18"/>
      <c r="G796" s="18"/>
      <c r="H796" s="58"/>
      <c r="I796" s="21"/>
      <c r="J796" s="22"/>
    </row>
    <row r="797" spans="1:10" ht="13.2" x14ac:dyDescent="0.25">
      <c r="A797" s="17"/>
      <c r="B797" s="17"/>
      <c r="D797" s="18"/>
      <c r="E797" s="18"/>
      <c r="F797" s="18"/>
      <c r="G797" s="18"/>
      <c r="H797" s="58"/>
      <c r="I797" s="21"/>
      <c r="J797" s="22"/>
    </row>
    <row r="798" spans="1:10" ht="13.2" x14ac:dyDescent="0.25">
      <c r="A798" s="17"/>
      <c r="B798" s="17"/>
      <c r="D798" s="18"/>
      <c r="E798" s="18"/>
      <c r="F798" s="18"/>
      <c r="G798" s="18"/>
      <c r="H798" s="58"/>
      <c r="I798" s="21"/>
      <c r="J798" s="22"/>
    </row>
    <row r="799" spans="1:10" ht="13.2" x14ac:dyDescent="0.25">
      <c r="A799" s="17"/>
      <c r="B799" s="17"/>
      <c r="D799" s="18"/>
      <c r="E799" s="18"/>
      <c r="F799" s="18"/>
      <c r="G799" s="18"/>
      <c r="H799" s="58"/>
      <c r="I799" s="21"/>
      <c r="J799" s="22"/>
    </row>
    <row r="800" spans="1:10" ht="13.2" x14ac:dyDescent="0.25">
      <c r="A800" s="17"/>
      <c r="B800" s="17"/>
      <c r="D800" s="18"/>
      <c r="E800" s="18"/>
      <c r="F800" s="18"/>
      <c r="G800" s="18"/>
      <c r="H800" s="58"/>
      <c r="I800" s="21"/>
      <c r="J800" s="22"/>
    </row>
    <row r="801" spans="1:10" ht="13.2" x14ac:dyDescent="0.25">
      <c r="A801" s="17"/>
      <c r="B801" s="17"/>
      <c r="D801" s="18"/>
      <c r="E801" s="18"/>
      <c r="F801" s="18"/>
      <c r="G801" s="18"/>
      <c r="H801" s="58"/>
      <c r="I801" s="21"/>
      <c r="J801" s="22"/>
    </row>
    <row r="802" spans="1:10" ht="13.2" x14ac:dyDescent="0.25">
      <c r="A802" s="17"/>
      <c r="B802" s="17"/>
      <c r="D802" s="18"/>
      <c r="E802" s="18"/>
      <c r="F802" s="18"/>
      <c r="G802" s="18"/>
      <c r="H802" s="58"/>
      <c r="I802" s="21"/>
      <c r="J802" s="22"/>
    </row>
    <row r="803" spans="1:10" ht="13.2" x14ac:dyDescent="0.25">
      <c r="A803" s="17"/>
      <c r="B803" s="17"/>
      <c r="D803" s="18"/>
      <c r="E803" s="18"/>
      <c r="F803" s="18"/>
      <c r="G803" s="18"/>
      <c r="H803" s="58"/>
      <c r="I803" s="21"/>
      <c r="J803" s="22"/>
    </row>
    <row r="804" spans="1:10" ht="13.2" x14ac:dyDescent="0.25">
      <c r="A804" s="17"/>
      <c r="B804" s="17"/>
      <c r="D804" s="18"/>
      <c r="E804" s="18"/>
      <c r="F804" s="18"/>
      <c r="G804" s="18"/>
      <c r="H804" s="58"/>
      <c r="I804" s="21"/>
      <c r="J804" s="22"/>
    </row>
    <row r="805" spans="1:10" ht="13.2" x14ac:dyDescent="0.25">
      <c r="A805" s="17"/>
      <c r="B805" s="17"/>
      <c r="D805" s="18"/>
      <c r="E805" s="18"/>
      <c r="F805" s="18"/>
      <c r="G805" s="18"/>
      <c r="H805" s="58"/>
      <c r="I805" s="21"/>
      <c r="J805" s="22"/>
    </row>
    <row r="806" spans="1:10" ht="13.2" x14ac:dyDescent="0.25">
      <c r="A806" s="17"/>
      <c r="B806" s="17"/>
      <c r="D806" s="18"/>
      <c r="E806" s="18"/>
      <c r="F806" s="18"/>
      <c r="G806" s="18"/>
      <c r="H806" s="58"/>
      <c r="I806" s="21"/>
      <c r="J806" s="22"/>
    </row>
    <row r="807" spans="1:10" ht="13.2" x14ac:dyDescent="0.25">
      <c r="A807" s="17"/>
      <c r="B807" s="17"/>
      <c r="D807" s="18"/>
      <c r="E807" s="18"/>
      <c r="F807" s="18"/>
      <c r="G807" s="18"/>
      <c r="H807" s="58"/>
      <c r="I807" s="21"/>
      <c r="J807" s="22"/>
    </row>
    <row r="808" spans="1:10" ht="13.2" x14ac:dyDescent="0.25">
      <c r="A808" s="17"/>
      <c r="B808" s="17"/>
      <c r="D808" s="18"/>
      <c r="E808" s="18"/>
      <c r="F808" s="18"/>
      <c r="G808" s="18"/>
      <c r="H808" s="58"/>
      <c r="I808" s="21"/>
      <c r="J808" s="22"/>
    </row>
    <row r="809" spans="1:10" ht="13.2" x14ac:dyDescent="0.25">
      <c r="A809" s="17"/>
      <c r="B809" s="17"/>
      <c r="D809" s="18"/>
      <c r="E809" s="18"/>
      <c r="F809" s="18"/>
      <c r="G809" s="18"/>
      <c r="H809" s="58"/>
      <c r="I809" s="21"/>
      <c r="J809" s="22"/>
    </row>
    <row r="810" spans="1:10" ht="13.2" x14ac:dyDescent="0.25">
      <c r="A810" s="17"/>
      <c r="B810" s="17"/>
      <c r="D810" s="18"/>
      <c r="E810" s="18"/>
      <c r="F810" s="18"/>
      <c r="G810" s="18"/>
      <c r="H810" s="58"/>
      <c r="I810" s="21"/>
      <c r="J810" s="22"/>
    </row>
    <row r="811" spans="1:10" ht="13.2" x14ac:dyDescent="0.25">
      <c r="A811" s="17"/>
      <c r="B811" s="17"/>
      <c r="D811" s="18"/>
      <c r="E811" s="18"/>
      <c r="F811" s="18"/>
      <c r="G811" s="18"/>
      <c r="H811" s="58"/>
      <c r="I811" s="21"/>
      <c r="J811" s="22"/>
    </row>
    <row r="812" spans="1:10" ht="13.2" x14ac:dyDescent="0.25">
      <c r="A812" s="17"/>
      <c r="B812" s="17"/>
      <c r="D812" s="18"/>
      <c r="E812" s="18"/>
      <c r="F812" s="18"/>
      <c r="G812" s="18"/>
      <c r="H812" s="58"/>
      <c r="I812" s="21"/>
      <c r="J812" s="22"/>
    </row>
    <row r="813" spans="1:10" ht="13.2" x14ac:dyDescent="0.25">
      <c r="A813" s="17"/>
      <c r="B813" s="17"/>
      <c r="D813" s="18"/>
      <c r="E813" s="18"/>
      <c r="F813" s="18"/>
      <c r="G813" s="18"/>
      <c r="H813" s="58"/>
      <c r="I813" s="21"/>
      <c r="J813" s="22"/>
    </row>
    <row r="814" spans="1:10" ht="13.2" x14ac:dyDescent="0.25">
      <c r="A814" s="17"/>
      <c r="B814" s="17"/>
      <c r="D814" s="18"/>
      <c r="E814" s="18"/>
      <c r="F814" s="18"/>
      <c r="G814" s="18"/>
      <c r="H814" s="58"/>
      <c r="I814" s="21"/>
      <c r="J814" s="22"/>
    </row>
    <row r="815" spans="1:10" ht="13.2" x14ac:dyDescent="0.25">
      <c r="A815" s="17"/>
      <c r="B815" s="17"/>
      <c r="D815" s="18"/>
      <c r="E815" s="18"/>
      <c r="F815" s="18"/>
      <c r="G815" s="18"/>
      <c r="H815" s="58"/>
      <c r="I815" s="21"/>
      <c r="J815" s="22"/>
    </row>
    <row r="816" spans="1:10" ht="13.2" x14ac:dyDescent="0.25">
      <c r="A816" s="17"/>
      <c r="B816" s="17"/>
      <c r="D816" s="18"/>
      <c r="E816" s="18"/>
      <c r="F816" s="18"/>
      <c r="G816" s="18"/>
      <c r="H816" s="58"/>
      <c r="I816" s="21"/>
      <c r="J816" s="22"/>
    </row>
    <row r="817" spans="1:10" ht="13.2" x14ac:dyDescent="0.25">
      <c r="A817" s="17"/>
      <c r="B817" s="17"/>
      <c r="D817" s="18"/>
      <c r="E817" s="18"/>
      <c r="F817" s="18"/>
      <c r="G817" s="18"/>
      <c r="H817" s="58"/>
      <c r="I817" s="21"/>
      <c r="J817" s="22"/>
    </row>
    <row r="818" spans="1:10" ht="13.2" x14ac:dyDescent="0.25">
      <c r="A818" s="17"/>
      <c r="B818" s="17"/>
      <c r="D818" s="18"/>
      <c r="E818" s="18"/>
      <c r="F818" s="18"/>
      <c r="G818" s="18"/>
      <c r="H818" s="58"/>
      <c r="I818" s="21"/>
      <c r="J818" s="22"/>
    </row>
    <row r="819" spans="1:10" ht="13.2" x14ac:dyDescent="0.25">
      <c r="A819" s="17"/>
      <c r="B819" s="17"/>
      <c r="D819" s="18"/>
      <c r="E819" s="18"/>
      <c r="F819" s="18"/>
      <c r="G819" s="18"/>
      <c r="H819" s="58"/>
      <c r="I819" s="21"/>
      <c r="J819" s="22"/>
    </row>
    <row r="820" spans="1:10" ht="13.2" x14ac:dyDescent="0.25">
      <c r="A820" s="17"/>
      <c r="B820" s="17"/>
      <c r="D820" s="18"/>
      <c r="E820" s="18"/>
      <c r="F820" s="18"/>
      <c r="G820" s="18"/>
      <c r="H820" s="58"/>
      <c r="I820" s="21"/>
      <c r="J820" s="22"/>
    </row>
    <row r="821" spans="1:10" ht="13.2" x14ac:dyDescent="0.25">
      <c r="A821" s="17"/>
      <c r="B821" s="17"/>
      <c r="D821" s="18"/>
      <c r="E821" s="18"/>
      <c r="F821" s="18"/>
      <c r="G821" s="18"/>
      <c r="H821" s="58"/>
      <c r="I821" s="21"/>
      <c r="J821" s="22"/>
    </row>
    <row r="822" spans="1:10" ht="13.2" x14ac:dyDescent="0.25">
      <c r="A822" s="17"/>
      <c r="B822" s="17"/>
      <c r="D822" s="18"/>
      <c r="E822" s="18"/>
      <c r="F822" s="18"/>
      <c r="G822" s="18"/>
      <c r="H822" s="58"/>
      <c r="I822" s="21"/>
      <c r="J822" s="22"/>
    </row>
    <row r="823" spans="1:10" ht="13.2" x14ac:dyDescent="0.25">
      <c r="A823" s="17"/>
      <c r="B823" s="17"/>
      <c r="D823" s="18"/>
      <c r="E823" s="18"/>
      <c r="F823" s="18"/>
      <c r="G823" s="18"/>
      <c r="H823" s="58"/>
      <c r="I823" s="21"/>
      <c r="J823" s="22"/>
    </row>
    <row r="824" spans="1:10" ht="13.2" x14ac:dyDescent="0.25">
      <c r="A824" s="17"/>
      <c r="B824" s="17"/>
      <c r="D824" s="18"/>
      <c r="E824" s="18"/>
      <c r="F824" s="18"/>
      <c r="G824" s="18"/>
      <c r="H824" s="58"/>
      <c r="I824" s="21"/>
      <c r="J824" s="22"/>
    </row>
    <row r="825" spans="1:10" ht="13.2" x14ac:dyDescent="0.25">
      <c r="A825" s="17"/>
      <c r="B825" s="17"/>
      <c r="D825" s="18"/>
      <c r="E825" s="18"/>
      <c r="F825" s="18"/>
      <c r="G825" s="18"/>
      <c r="H825" s="58"/>
      <c r="I825" s="21"/>
      <c r="J825" s="22"/>
    </row>
    <row r="826" spans="1:10" ht="13.2" x14ac:dyDescent="0.25">
      <c r="A826" s="17"/>
      <c r="B826" s="17"/>
      <c r="D826" s="18"/>
      <c r="E826" s="18"/>
      <c r="F826" s="18"/>
      <c r="G826" s="18"/>
      <c r="H826" s="58"/>
      <c r="I826" s="21"/>
      <c r="J826" s="22"/>
    </row>
    <row r="827" spans="1:10" ht="13.2" x14ac:dyDescent="0.25">
      <c r="A827" s="17"/>
      <c r="B827" s="17"/>
      <c r="D827" s="18"/>
      <c r="E827" s="18"/>
      <c r="F827" s="18"/>
      <c r="G827" s="18"/>
      <c r="H827" s="58"/>
      <c r="I827" s="21"/>
      <c r="J827" s="22"/>
    </row>
    <row r="828" spans="1:10" ht="13.2" x14ac:dyDescent="0.25">
      <c r="A828" s="17"/>
      <c r="B828" s="17"/>
      <c r="D828" s="18"/>
      <c r="E828" s="18"/>
      <c r="F828" s="18"/>
      <c r="G828" s="18"/>
      <c r="H828" s="58"/>
      <c r="I828" s="21"/>
      <c r="J828" s="22"/>
    </row>
    <row r="829" spans="1:10" ht="13.2" x14ac:dyDescent="0.25">
      <c r="A829" s="17"/>
      <c r="B829" s="17"/>
      <c r="D829" s="18"/>
      <c r="E829" s="18"/>
      <c r="F829" s="18"/>
      <c r="G829" s="18"/>
      <c r="H829" s="58"/>
      <c r="I829" s="21"/>
      <c r="J829" s="22"/>
    </row>
    <row r="830" spans="1:10" ht="13.2" x14ac:dyDescent="0.25">
      <c r="A830" s="17"/>
      <c r="B830" s="17"/>
      <c r="D830" s="18"/>
      <c r="E830" s="18"/>
      <c r="F830" s="18"/>
      <c r="G830" s="18"/>
      <c r="H830" s="58"/>
      <c r="I830" s="21"/>
      <c r="J830" s="22"/>
    </row>
    <row r="831" spans="1:10" ht="13.2" x14ac:dyDescent="0.25">
      <c r="A831" s="17"/>
      <c r="B831" s="17"/>
      <c r="D831" s="18"/>
      <c r="E831" s="18"/>
      <c r="F831" s="18"/>
      <c r="G831" s="18"/>
      <c r="H831" s="58"/>
      <c r="I831" s="21"/>
      <c r="J831" s="22"/>
    </row>
    <row r="832" spans="1:10" ht="13.2" x14ac:dyDescent="0.25">
      <c r="A832" s="17"/>
      <c r="B832" s="17"/>
      <c r="D832" s="18"/>
      <c r="E832" s="18"/>
      <c r="F832" s="18"/>
      <c r="G832" s="18"/>
      <c r="H832" s="58"/>
      <c r="I832" s="21"/>
      <c r="J832" s="22"/>
    </row>
    <row r="833" spans="1:10" ht="13.2" x14ac:dyDescent="0.25">
      <c r="A833" s="17"/>
      <c r="B833" s="17"/>
      <c r="D833" s="18"/>
      <c r="E833" s="18"/>
      <c r="F833" s="18"/>
      <c r="G833" s="18"/>
      <c r="H833" s="58"/>
      <c r="I833" s="21"/>
      <c r="J833" s="22"/>
    </row>
    <row r="834" spans="1:10" ht="13.2" x14ac:dyDescent="0.25">
      <c r="A834" s="17"/>
      <c r="B834" s="17"/>
      <c r="D834" s="18"/>
      <c r="E834" s="18"/>
      <c r="F834" s="18"/>
      <c r="G834" s="18"/>
      <c r="H834" s="58"/>
      <c r="I834" s="21"/>
      <c r="J834" s="22"/>
    </row>
    <row r="835" spans="1:10" ht="13.2" x14ac:dyDescent="0.25">
      <c r="A835" s="17"/>
      <c r="B835" s="17"/>
      <c r="D835" s="18"/>
      <c r="E835" s="18"/>
      <c r="F835" s="18"/>
      <c r="G835" s="18"/>
      <c r="H835" s="58"/>
      <c r="I835" s="21"/>
      <c r="J835" s="22"/>
    </row>
    <row r="836" spans="1:10" ht="13.2" x14ac:dyDescent="0.25">
      <c r="A836" s="17"/>
      <c r="B836" s="17"/>
      <c r="D836" s="18"/>
      <c r="E836" s="18"/>
      <c r="F836" s="18"/>
      <c r="G836" s="18"/>
      <c r="H836" s="58"/>
      <c r="I836" s="21"/>
      <c r="J836" s="22"/>
    </row>
    <row r="837" spans="1:10" ht="13.2" x14ac:dyDescent="0.25">
      <c r="A837" s="17"/>
      <c r="B837" s="17"/>
      <c r="D837" s="18"/>
      <c r="E837" s="18"/>
      <c r="F837" s="18"/>
      <c r="G837" s="18"/>
      <c r="H837" s="58"/>
      <c r="I837" s="21"/>
      <c r="J837" s="22"/>
    </row>
    <row r="838" spans="1:10" ht="13.2" x14ac:dyDescent="0.25">
      <c r="A838" s="17"/>
      <c r="B838" s="17"/>
      <c r="D838" s="18"/>
      <c r="E838" s="18"/>
      <c r="F838" s="18"/>
      <c r="G838" s="18"/>
      <c r="H838" s="58"/>
      <c r="I838" s="21"/>
      <c r="J838" s="22"/>
    </row>
    <row r="839" spans="1:10" ht="13.2" x14ac:dyDescent="0.25">
      <c r="A839" s="17"/>
      <c r="B839" s="17"/>
      <c r="D839" s="18"/>
      <c r="E839" s="18"/>
      <c r="F839" s="18"/>
      <c r="G839" s="18"/>
      <c r="H839" s="58"/>
      <c r="I839" s="21"/>
      <c r="J839" s="22"/>
    </row>
    <row r="840" spans="1:10" ht="13.2" x14ac:dyDescent="0.25">
      <c r="A840" s="17"/>
      <c r="B840" s="17"/>
      <c r="D840" s="18"/>
      <c r="E840" s="18"/>
      <c r="F840" s="18"/>
      <c r="G840" s="18"/>
      <c r="H840" s="58"/>
      <c r="I840" s="21"/>
      <c r="J840" s="22"/>
    </row>
    <row r="841" spans="1:10" ht="13.2" x14ac:dyDescent="0.25">
      <c r="A841" s="17"/>
      <c r="B841" s="17"/>
      <c r="D841" s="18"/>
      <c r="E841" s="18"/>
      <c r="F841" s="18"/>
      <c r="G841" s="18"/>
      <c r="H841" s="58"/>
      <c r="I841" s="21"/>
      <c r="J841" s="22"/>
    </row>
    <row r="842" spans="1:10" ht="13.2" x14ac:dyDescent="0.25">
      <c r="A842" s="17"/>
      <c r="B842" s="17"/>
      <c r="D842" s="18"/>
      <c r="E842" s="18"/>
      <c r="F842" s="18"/>
      <c r="G842" s="18"/>
      <c r="H842" s="58"/>
      <c r="I842" s="21"/>
      <c r="J842" s="22"/>
    </row>
    <row r="843" spans="1:10" ht="13.2" x14ac:dyDescent="0.25">
      <c r="A843" s="17"/>
      <c r="B843" s="17"/>
      <c r="D843" s="18"/>
      <c r="E843" s="18"/>
      <c r="F843" s="18"/>
      <c r="G843" s="18"/>
      <c r="H843" s="58"/>
      <c r="I843" s="21"/>
      <c r="J843" s="22"/>
    </row>
    <row r="844" spans="1:10" ht="13.2" x14ac:dyDescent="0.25">
      <c r="A844" s="17"/>
      <c r="B844" s="17"/>
      <c r="D844" s="18"/>
      <c r="E844" s="18"/>
      <c r="F844" s="18"/>
      <c r="G844" s="18"/>
      <c r="H844" s="58"/>
      <c r="I844" s="21"/>
      <c r="J844" s="22"/>
    </row>
    <row r="845" spans="1:10" ht="13.2" x14ac:dyDescent="0.25">
      <c r="A845" s="17"/>
      <c r="B845" s="17"/>
      <c r="D845" s="18"/>
      <c r="E845" s="18"/>
      <c r="F845" s="18"/>
      <c r="G845" s="18"/>
      <c r="H845" s="58"/>
      <c r="I845" s="21"/>
      <c r="J845" s="22"/>
    </row>
    <row r="846" spans="1:10" ht="13.2" x14ac:dyDescent="0.25">
      <c r="A846" s="17"/>
      <c r="B846" s="17"/>
      <c r="D846" s="18"/>
      <c r="E846" s="18"/>
      <c r="F846" s="18"/>
      <c r="G846" s="18"/>
      <c r="H846" s="58"/>
      <c r="I846" s="21"/>
      <c r="J846" s="22"/>
    </row>
    <row r="847" spans="1:10" ht="13.2" x14ac:dyDescent="0.25">
      <c r="A847" s="17"/>
      <c r="B847" s="17"/>
      <c r="D847" s="18"/>
      <c r="E847" s="18"/>
      <c r="F847" s="18"/>
      <c r="G847" s="18"/>
      <c r="H847" s="58"/>
      <c r="I847" s="21"/>
      <c r="J847" s="22"/>
    </row>
    <row r="848" spans="1:10" ht="13.2" x14ac:dyDescent="0.25">
      <c r="A848" s="17"/>
      <c r="B848" s="17"/>
      <c r="D848" s="18"/>
      <c r="E848" s="18"/>
      <c r="F848" s="18"/>
      <c r="G848" s="18"/>
      <c r="H848" s="58"/>
      <c r="I848" s="21"/>
      <c r="J848" s="22"/>
    </row>
    <row r="849" spans="1:10" ht="13.2" x14ac:dyDescent="0.25">
      <c r="A849" s="17"/>
      <c r="B849" s="17"/>
      <c r="D849" s="18"/>
      <c r="E849" s="18"/>
      <c r="F849" s="18"/>
      <c r="G849" s="18"/>
      <c r="H849" s="58"/>
      <c r="I849" s="21"/>
      <c r="J849" s="22"/>
    </row>
    <row r="850" spans="1:10" ht="13.2" x14ac:dyDescent="0.25">
      <c r="A850" s="17"/>
      <c r="B850" s="17"/>
      <c r="D850" s="18"/>
      <c r="E850" s="18"/>
      <c r="F850" s="18"/>
      <c r="G850" s="18"/>
      <c r="H850" s="58"/>
      <c r="I850" s="21"/>
      <c r="J850" s="22"/>
    </row>
    <row r="851" spans="1:10" ht="13.2" x14ac:dyDescent="0.25">
      <c r="A851" s="17"/>
      <c r="B851" s="17"/>
      <c r="D851" s="18"/>
      <c r="E851" s="18"/>
      <c r="F851" s="18"/>
      <c r="G851" s="18"/>
      <c r="H851" s="58"/>
      <c r="I851" s="21"/>
      <c r="J851" s="22"/>
    </row>
    <row r="852" spans="1:10" ht="13.2" x14ac:dyDescent="0.25">
      <c r="A852" s="17"/>
      <c r="B852" s="17"/>
      <c r="D852" s="18"/>
      <c r="E852" s="18"/>
      <c r="F852" s="18"/>
      <c r="G852" s="18"/>
      <c r="H852" s="58"/>
      <c r="I852" s="21"/>
      <c r="J852" s="22"/>
    </row>
    <row r="853" spans="1:10" ht="13.2" x14ac:dyDescent="0.25">
      <c r="A853" s="17"/>
      <c r="B853" s="17"/>
      <c r="D853" s="18"/>
      <c r="E853" s="18"/>
      <c r="F853" s="18"/>
      <c r="G853" s="18"/>
      <c r="H853" s="58"/>
      <c r="I853" s="21"/>
      <c r="J853" s="22"/>
    </row>
    <row r="854" spans="1:10" ht="13.2" x14ac:dyDescent="0.25">
      <c r="A854" s="17"/>
      <c r="B854" s="17"/>
      <c r="D854" s="18"/>
      <c r="E854" s="18"/>
      <c r="F854" s="18"/>
      <c r="G854" s="18"/>
      <c r="H854" s="58"/>
      <c r="I854" s="21"/>
      <c r="J854" s="22"/>
    </row>
    <row r="855" spans="1:10" ht="13.2" x14ac:dyDescent="0.25">
      <c r="A855" s="17"/>
      <c r="B855" s="17"/>
      <c r="D855" s="18"/>
      <c r="E855" s="18"/>
      <c r="F855" s="18"/>
      <c r="G855" s="18"/>
      <c r="H855" s="58"/>
      <c r="I855" s="21"/>
      <c r="J855" s="22"/>
    </row>
    <row r="856" spans="1:10" ht="13.2" x14ac:dyDescent="0.25">
      <c r="A856" s="17"/>
      <c r="B856" s="17"/>
      <c r="D856" s="18"/>
      <c r="E856" s="18"/>
      <c r="F856" s="18"/>
      <c r="G856" s="18"/>
      <c r="H856" s="58"/>
      <c r="I856" s="21"/>
      <c r="J856" s="22"/>
    </row>
    <row r="857" spans="1:10" ht="13.2" x14ac:dyDescent="0.25">
      <c r="A857" s="17"/>
      <c r="B857" s="17"/>
      <c r="D857" s="18"/>
      <c r="E857" s="18"/>
      <c r="F857" s="18"/>
      <c r="G857" s="18"/>
      <c r="H857" s="58"/>
      <c r="I857" s="21"/>
      <c r="J857" s="22"/>
    </row>
    <row r="858" spans="1:10" ht="13.2" x14ac:dyDescent="0.25">
      <c r="A858" s="17"/>
      <c r="B858" s="17"/>
      <c r="D858" s="18"/>
      <c r="E858" s="18"/>
      <c r="F858" s="18"/>
      <c r="G858" s="18"/>
      <c r="H858" s="58"/>
      <c r="I858" s="21"/>
      <c r="J858" s="22"/>
    </row>
    <row r="859" spans="1:10" ht="13.2" x14ac:dyDescent="0.25">
      <c r="A859" s="17"/>
      <c r="B859" s="17"/>
      <c r="D859" s="18"/>
      <c r="E859" s="18"/>
      <c r="F859" s="18"/>
      <c r="G859" s="18"/>
      <c r="H859" s="58"/>
      <c r="I859" s="21"/>
      <c r="J859" s="22"/>
    </row>
    <row r="860" spans="1:10" ht="13.2" x14ac:dyDescent="0.25">
      <c r="A860" s="17"/>
      <c r="B860" s="17"/>
      <c r="D860" s="18"/>
      <c r="E860" s="18"/>
      <c r="F860" s="18"/>
      <c r="G860" s="18"/>
      <c r="H860" s="58"/>
      <c r="I860" s="21"/>
      <c r="J860" s="22"/>
    </row>
    <row r="861" spans="1:10" ht="13.2" x14ac:dyDescent="0.25">
      <c r="A861" s="17"/>
      <c r="B861" s="17"/>
      <c r="D861" s="18"/>
      <c r="E861" s="18"/>
      <c r="F861" s="18"/>
      <c r="G861" s="18"/>
      <c r="H861" s="58"/>
      <c r="I861" s="21"/>
      <c r="J861" s="22"/>
    </row>
    <row r="862" spans="1:10" ht="13.2" x14ac:dyDescent="0.25">
      <c r="A862" s="17"/>
      <c r="B862" s="17"/>
      <c r="D862" s="18"/>
      <c r="E862" s="18"/>
      <c r="F862" s="18"/>
      <c r="G862" s="18"/>
      <c r="H862" s="58"/>
      <c r="I862" s="21"/>
      <c r="J862" s="22"/>
    </row>
    <row r="863" spans="1:10" ht="13.2" x14ac:dyDescent="0.25">
      <c r="A863" s="17"/>
      <c r="B863" s="17"/>
      <c r="D863" s="18"/>
      <c r="E863" s="18"/>
      <c r="F863" s="18"/>
      <c r="G863" s="18"/>
      <c r="H863" s="58"/>
      <c r="I863" s="21"/>
      <c r="J863" s="22"/>
    </row>
    <row r="864" spans="1:10" ht="13.2" x14ac:dyDescent="0.25">
      <c r="A864" s="17"/>
      <c r="B864" s="17"/>
      <c r="D864" s="18"/>
      <c r="E864" s="18"/>
      <c r="F864" s="18"/>
      <c r="G864" s="18"/>
      <c r="H864" s="58"/>
      <c r="I864" s="21"/>
      <c r="J864" s="22"/>
    </row>
    <row r="865" spans="1:10" ht="13.2" x14ac:dyDescent="0.25">
      <c r="A865" s="17"/>
      <c r="B865" s="17"/>
      <c r="D865" s="18"/>
      <c r="E865" s="18"/>
      <c r="F865" s="18"/>
      <c r="G865" s="18"/>
      <c r="H865" s="58"/>
      <c r="I865" s="21"/>
      <c r="J865" s="22"/>
    </row>
    <row r="866" spans="1:10" ht="13.2" x14ac:dyDescent="0.25">
      <c r="A866" s="17"/>
      <c r="B866" s="17"/>
      <c r="D866" s="18"/>
      <c r="E866" s="18"/>
      <c r="F866" s="18"/>
      <c r="G866" s="18"/>
      <c r="H866" s="58"/>
      <c r="I866" s="21"/>
      <c r="J866" s="22"/>
    </row>
    <row r="867" spans="1:10" ht="13.2" x14ac:dyDescent="0.25">
      <c r="A867" s="17"/>
      <c r="B867" s="17"/>
      <c r="D867" s="18"/>
      <c r="E867" s="18"/>
      <c r="F867" s="18"/>
      <c r="G867" s="18"/>
      <c r="H867" s="58"/>
      <c r="I867" s="21"/>
      <c r="J867" s="22"/>
    </row>
    <row r="868" spans="1:10" ht="13.2" x14ac:dyDescent="0.25">
      <c r="A868" s="17"/>
      <c r="B868" s="17"/>
      <c r="D868" s="18"/>
      <c r="E868" s="18"/>
      <c r="F868" s="18"/>
      <c r="G868" s="18"/>
      <c r="H868" s="58"/>
      <c r="I868" s="21"/>
      <c r="J868" s="22"/>
    </row>
    <row r="869" spans="1:10" ht="13.2" x14ac:dyDescent="0.25">
      <c r="A869" s="17"/>
      <c r="B869" s="17"/>
      <c r="D869" s="18"/>
      <c r="E869" s="18"/>
      <c r="F869" s="18"/>
      <c r="G869" s="18"/>
      <c r="H869" s="58"/>
      <c r="I869" s="21"/>
      <c r="J869" s="22"/>
    </row>
    <row r="870" spans="1:10" ht="13.2" x14ac:dyDescent="0.25">
      <c r="A870" s="17"/>
      <c r="B870" s="17"/>
      <c r="D870" s="18"/>
      <c r="E870" s="18"/>
      <c r="F870" s="18"/>
      <c r="G870" s="18"/>
      <c r="H870" s="58"/>
      <c r="I870" s="21"/>
      <c r="J870" s="22"/>
    </row>
    <row r="871" spans="1:10" ht="13.2" x14ac:dyDescent="0.25">
      <c r="A871" s="17"/>
      <c r="B871" s="17"/>
      <c r="D871" s="18"/>
      <c r="E871" s="18"/>
      <c r="F871" s="18"/>
      <c r="G871" s="18"/>
      <c r="H871" s="58"/>
      <c r="I871" s="21"/>
      <c r="J871" s="22"/>
    </row>
    <row r="872" spans="1:10" ht="13.2" x14ac:dyDescent="0.25">
      <c r="A872" s="17"/>
      <c r="B872" s="17"/>
      <c r="D872" s="18"/>
      <c r="E872" s="18"/>
      <c r="F872" s="18"/>
      <c r="G872" s="18"/>
      <c r="H872" s="58"/>
      <c r="I872" s="21"/>
      <c r="J872" s="22"/>
    </row>
    <row r="873" spans="1:10" ht="13.2" x14ac:dyDescent="0.25">
      <c r="A873" s="17"/>
      <c r="B873" s="17"/>
      <c r="D873" s="18"/>
      <c r="E873" s="18"/>
      <c r="F873" s="18"/>
      <c r="G873" s="18"/>
      <c r="H873" s="58"/>
      <c r="I873" s="21"/>
      <c r="J873" s="22"/>
    </row>
    <row r="874" spans="1:10" ht="13.2" x14ac:dyDescent="0.25">
      <c r="A874" s="17"/>
      <c r="B874" s="17"/>
      <c r="D874" s="18"/>
      <c r="E874" s="18"/>
      <c r="F874" s="18"/>
      <c r="G874" s="18"/>
      <c r="H874" s="58"/>
      <c r="I874" s="21"/>
      <c r="J874" s="22"/>
    </row>
    <row r="875" spans="1:10" ht="13.2" x14ac:dyDescent="0.25">
      <c r="A875" s="17"/>
      <c r="B875" s="17"/>
      <c r="D875" s="18"/>
      <c r="E875" s="18"/>
      <c r="F875" s="18"/>
      <c r="G875" s="18"/>
      <c r="H875" s="58"/>
      <c r="I875" s="21"/>
      <c r="J875" s="22"/>
    </row>
    <row r="876" spans="1:10" ht="13.2" x14ac:dyDescent="0.25">
      <c r="A876" s="17"/>
      <c r="B876" s="17"/>
      <c r="D876" s="18"/>
      <c r="E876" s="18"/>
      <c r="F876" s="18"/>
      <c r="G876" s="18"/>
      <c r="H876" s="58"/>
      <c r="I876" s="21"/>
      <c r="J876" s="22"/>
    </row>
    <row r="877" spans="1:10" ht="13.2" x14ac:dyDescent="0.25">
      <c r="A877" s="17"/>
      <c r="B877" s="17"/>
      <c r="D877" s="18"/>
      <c r="E877" s="18"/>
      <c r="F877" s="18"/>
      <c r="G877" s="18"/>
      <c r="H877" s="58"/>
      <c r="I877" s="21"/>
      <c r="J877" s="22"/>
    </row>
    <row r="878" spans="1:10" ht="13.2" x14ac:dyDescent="0.25">
      <c r="A878" s="17"/>
      <c r="B878" s="17"/>
      <c r="D878" s="18"/>
      <c r="E878" s="18"/>
      <c r="F878" s="18"/>
      <c r="G878" s="18"/>
      <c r="H878" s="58"/>
      <c r="I878" s="21"/>
      <c r="J878" s="22"/>
    </row>
    <row r="879" spans="1:10" ht="13.2" x14ac:dyDescent="0.25">
      <c r="A879" s="17"/>
      <c r="B879" s="17"/>
      <c r="D879" s="18"/>
      <c r="E879" s="18"/>
      <c r="F879" s="18"/>
      <c r="G879" s="18"/>
      <c r="H879" s="58"/>
      <c r="I879" s="21"/>
      <c r="J879" s="22"/>
    </row>
    <row r="880" spans="1:10" ht="13.2" x14ac:dyDescent="0.25">
      <c r="A880" s="17"/>
      <c r="B880" s="17"/>
      <c r="D880" s="18"/>
      <c r="E880" s="18"/>
      <c r="F880" s="18"/>
      <c r="G880" s="18"/>
      <c r="H880" s="58"/>
      <c r="I880" s="21"/>
      <c r="J880" s="22"/>
    </row>
    <row r="881" spans="1:10" ht="13.2" x14ac:dyDescent="0.25">
      <c r="A881" s="17"/>
      <c r="B881" s="17"/>
      <c r="D881" s="18"/>
      <c r="E881" s="18"/>
      <c r="F881" s="18"/>
      <c r="G881" s="18"/>
      <c r="H881" s="58"/>
      <c r="I881" s="21"/>
      <c r="J881" s="22"/>
    </row>
    <row r="882" spans="1:10" ht="13.2" x14ac:dyDescent="0.25">
      <c r="A882" s="17"/>
      <c r="B882" s="17"/>
      <c r="D882" s="18"/>
      <c r="E882" s="18"/>
      <c r="F882" s="18"/>
      <c r="G882" s="18"/>
      <c r="H882" s="58"/>
      <c r="I882" s="21"/>
      <c r="J882" s="22"/>
    </row>
    <row r="883" spans="1:10" ht="13.2" x14ac:dyDescent="0.25">
      <c r="A883" s="17"/>
      <c r="B883" s="17"/>
      <c r="D883" s="18"/>
      <c r="E883" s="18"/>
      <c r="F883" s="18"/>
      <c r="G883" s="18"/>
      <c r="H883" s="58"/>
      <c r="I883" s="21"/>
      <c r="J883" s="22"/>
    </row>
    <row r="884" spans="1:10" ht="13.2" x14ac:dyDescent="0.25">
      <c r="A884" s="17"/>
      <c r="B884" s="17"/>
      <c r="D884" s="18"/>
      <c r="E884" s="18"/>
      <c r="F884" s="18"/>
      <c r="G884" s="18"/>
      <c r="H884" s="58"/>
      <c r="I884" s="21"/>
      <c r="J884" s="22"/>
    </row>
    <row r="885" spans="1:10" ht="13.2" x14ac:dyDescent="0.25">
      <c r="A885" s="17"/>
      <c r="B885" s="17"/>
      <c r="D885" s="18"/>
      <c r="E885" s="18"/>
      <c r="F885" s="18"/>
      <c r="G885" s="18"/>
      <c r="H885" s="58"/>
      <c r="I885" s="21"/>
      <c r="J885" s="22"/>
    </row>
    <row r="886" spans="1:10" ht="13.2" x14ac:dyDescent="0.25">
      <c r="A886" s="17"/>
      <c r="B886" s="17"/>
      <c r="D886" s="18"/>
      <c r="E886" s="18"/>
      <c r="F886" s="18"/>
      <c r="G886" s="18"/>
      <c r="H886" s="58"/>
      <c r="I886" s="21"/>
      <c r="J886" s="22"/>
    </row>
    <row r="887" spans="1:10" ht="13.2" x14ac:dyDescent="0.25">
      <c r="A887" s="17"/>
      <c r="B887" s="17"/>
      <c r="D887" s="18"/>
      <c r="E887" s="18"/>
      <c r="F887" s="18"/>
      <c r="G887" s="18"/>
      <c r="H887" s="58"/>
      <c r="I887" s="21"/>
      <c r="J887" s="22"/>
    </row>
    <row r="888" spans="1:10" ht="13.2" x14ac:dyDescent="0.25">
      <c r="A888" s="17"/>
      <c r="B888" s="17"/>
      <c r="D888" s="18"/>
      <c r="E888" s="18"/>
      <c r="F888" s="18"/>
      <c r="G888" s="18"/>
      <c r="H888" s="58"/>
      <c r="I888" s="21"/>
      <c r="J888" s="22"/>
    </row>
    <row r="889" spans="1:10" ht="13.2" x14ac:dyDescent="0.25">
      <c r="A889" s="17"/>
      <c r="B889" s="17"/>
      <c r="D889" s="18"/>
      <c r="E889" s="18"/>
      <c r="F889" s="18"/>
      <c r="G889" s="18"/>
      <c r="H889" s="58"/>
      <c r="I889" s="21"/>
      <c r="J889" s="22"/>
    </row>
    <row r="890" spans="1:10" ht="13.2" x14ac:dyDescent="0.25">
      <c r="A890" s="17"/>
      <c r="B890" s="17"/>
      <c r="D890" s="18"/>
      <c r="E890" s="18"/>
      <c r="F890" s="18"/>
      <c r="G890" s="18"/>
      <c r="H890" s="58"/>
      <c r="I890" s="21"/>
      <c r="J890" s="22"/>
    </row>
    <row r="891" spans="1:10" ht="13.2" x14ac:dyDescent="0.25">
      <c r="A891" s="17"/>
      <c r="B891" s="17"/>
      <c r="D891" s="18"/>
      <c r="E891" s="18"/>
      <c r="F891" s="18"/>
      <c r="G891" s="18"/>
      <c r="H891" s="58"/>
      <c r="I891" s="21"/>
      <c r="J891" s="22"/>
    </row>
    <row r="892" spans="1:10" ht="13.2" x14ac:dyDescent="0.25">
      <c r="A892" s="17"/>
      <c r="B892" s="17"/>
      <c r="D892" s="18"/>
      <c r="E892" s="18"/>
      <c r="F892" s="18"/>
      <c r="G892" s="18"/>
      <c r="H892" s="58"/>
      <c r="I892" s="21"/>
      <c r="J892" s="22"/>
    </row>
    <row r="893" spans="1:10" ht="13.2" x14ac:dyDescent="0.25">
      <c r="A893" s="17"/>
      <c r="B893" s="17"/>
      <c r="D893" s="18"/>
      <c r="E893" s="18"/>
      <c r="F893" s="18"/>
      <c r="G893" s="18"/>
      <c r="H893" s="58"/>
      <c r="I893" s="21"/>
      <c r="J893" s="22"/>
    </row>
    <row r="894" spans="1:10" ht="13.2" x14ac:dyDescent="0.25">
      <c r="A894" s="17"/>
      <c r="B894" s="17"/>
      <c r="D894" s="18"/>
      <c r="E894" s="18"/>
      <c r="F894" s="18"/>
      <c r="G894" s="18"/>
      <c r="H894" s="58"/>
      <c r="I894" s="21"/>
      <c r="J894" s="22"/>
    </row>
    <row r="895" spans="1:10" ht="13.2" x14ac:dyDescent="0.25">
      <c r="A895" s="17"/>
      <c r="B895" s="17"/>
      <c r="D895" s="18"/>
      <c r="E895" s="18"/>
      <c r="F895" s="18"/>
      <c r="G895" s="18"/>
      <c r="H895" s="58"/>
      <c r="I895" s="21"/>
      <c r="J895" s="22"/>
    </row>
    <row r="896" spans="1:10" ht="13.2" x14ac:dyDescent="0.25">
      <c r="A896" s="17"/>
      <c r="B896" s="17"/>
      <c r="D896" s="18"/>
      <c r="E896" s="18"/>
      <c r="F896" s="18"/>
      <c r="G896" s="18"/>
      <c r="H896" s="58"/>
      <c r="I896" s="21"/>
      <c r="J896" s="22"/>
    </row>
    <row r="897" spans="1:10" ht="13.2" x14ac:dyDescent="0.25">
      <c r="A897" s="17"/>
      <c r="B897" s="17"/>
      <c r="D897" s="18"/>
      <c r="E897" s="18"/>
      <c r="F897" s="18"/>
      <c r="G897" s="18"/>
      <c r="H897" s="58"/>
      <c r="I897" s="21"/>
      <c r="J897" s="22"/>
    </row>
    <row r="898" spans="1:10" ht="13.2" x14ac:dyDescent="0.25">
      <c r="A898" s="17"/>
      <c r="B898" s="17"/>
      <c r="D898" s="18"/>
      <c r="E898" s="18"/>
      <c r="F898" s="18"/>
      <c r="G898" s="18"/>
      <c r="H898" s="58"/>
      <c r="I898" s="21"/>
      <c r="J898" s="22"/>
    </row>
    <row r="899" spans="1:10" ht="13.2" x14ac:dyDescent="0.25">
      <c r="A899" s="17"/>
      <c r="B899" s="17"/>
      <c r="D899" s="18"/>
      <c r="E899" s="18"/>
      <c r="F899" s="18"/>
      <c r="G899" s="18"/>
      <c r="H899" s="58"/>
      <c r="I899" s="21"/>
      <c r="J899" s="22"/>
    </row>
    <row r="900" spans="1:10" ht="13.2" x14ac:dyDescent="0.25">
      <c r="A900" s="17"/>
      <c r="B900" s="17"/>
      <c r="D900" s="18"/>
      <c r="E900" s="18"/>
      <c r="F900" s="18"/>
      <c r="G900" s="18"/>
      <c r="H900" s="58"/>
      <c r="I900" s="21"/>
      <c r="J900" s="22"/>
    </row>
    <row r="901" spans="1:10" ht="13.2" x14ac:dyDescent="0.25">
      <c r="A901" s="17"/>
      <c r="B901" s="17"/>
      <c r="D901" s="18"/>
      <c r="E901" s="18"/>
      <c r="F901" s="18"/>
      <c r="G901" s="18"/>
      <c r="H901" s="58"/>
      <c r="I901" s="21"/>
      <c r="J901" s="22"/>
    </row>
    <row r="902" spans="1:10" ht="13.2" x14ac:dyDescent="0.25">
      <c r="A902" s="17"/>
      <c r="B902" s="17"/>
      <c r="D902" s="18"/>
      <c r="E902" s="18"/>
      <c r="F902" s="18"/>
      <c r="G902" s="18"/>
      <c r="H902" s="58"/>
      <c r="I902" s="21"/>
      <c r="J902" s="22"/>
    </row>
    <row r="903" spans="1:10" ht="13.2" x14ac:dyDescent="0.25">
      <c r="A903" s="17"/>
      <c r="B903" s="17"/>
      <c r="D903" s="18"/>
      <c r="E903" s="18"/>
      <c r="F903" s="18"/>
      <c r="G903" s="18"/>
      <c r="H903" s="58"/>
      <c r="I903" s="21"/>
      <c r="J903" s="22"/>
    </row>
    <row r="904" spans="1:10" ht="13.2" x14ac:dyDescent="0.25">
      <c r="A904" s="17"/>
      <c r="B904" s="17"/>
      <c r="D904" s="18"/>
      <c r="E904" s="18"/>
      <c r="F904" s="18"/>
      <c r="G904" s="18"/>
      <c r="H904" s="58"/>
      <c r="I904" s="21"/>
      <c r="J904" s="22"/>
    </row>
    <row r="905" spans="1:10" ht="13.2" x14ac:dyDescent="0.25">
      <c r="A905" s="17"/>
      <c r="B905" s="17"/>
      <c r="D905" s="18"/>
      <c r="E905" s="18"/>
      <c r="F905" s="18"/>
      <c r="G905" s="18"/>
      <c r="H905" s="58"/>
      <c r="I905" s="21"/>
      <c r="J905" s="22"/>
    </row>
    <row r="906" spans="1:10" ht="13.2" x14ac:dyDescent="0.25">
      <c r="A906" s="17"/>
      <c r="B906" s="17"/>
      <c r="D906" s="18"/>
      <c r="E906" s="18"/>
      <c r="F906" s="18"/>
      <c r="G906" s="18"/>
      <c r="H906" s="58"/>
      <c r="I906" s="21"/>
      <c r="J906" s="22"/>
    </row>
    <row r="907" spans="1:10" ht="13.2" x14ac:dyDescent="0.25">
      <c r="A907" s="17"/>
      <c r="B907" s="17"/>
      <c r="D907" s="18"/>
      <c r="E907" s="18"/>
      <c r="F907" s="18"/>
      <c r="G907" s="18"/>
      <c r="H907" s="58"/>
      <c r="I907" s="21"/>
      <c r="J907" s="22"/>
    </row>
    <row r="908" spans="1:10" ht="13.2" x14ac:dyDescent="0.25">
      <c r="A908" s="17"/>
      <c r="B908" s="17"/>
      <c r="D908" s="18"/>
      <c r="E908" s="18"/>
      <c r="F908" s="18"/>
      <c r="G908" s="18"/>
      <c r="H908" s="58"/>
      <c r="I908" s="21"/>
      <c r="J908" s="22"/>
    </row>
    <row r="909" spans="1:10" ht="13.2" x14ac:dyDescent="0.25">
      <c r="A909" s="17"/>
      <c r="B909" s="17"/>
      <c r="D909" s="18"/>
      <c r="E909" s="18"/>
      <c r="F909" s="18"/>
      <c r="G909" s="18"/>
      <c r="H909" s="58"/>
      <c r="I909" s="21"/>
      <c r="J909" s="22"/>
    </row>
    <row r="910" spans="1:10" ht="13.2" x14ac:dyDescent="0.25">
      <c r="A910" s="17"/>
      <c r="B910" s="17"/>
      <c r="D910" s="18"/>
      <c r="E910" s="18"/>
      <c r="F910" s="18"/>
      <c r="G910" s="18"/>
      <c r="H910" s="58"/>
      <c r="I910" s="21"/>
      <c r="J910" s="22"/>
    </row>
    <row r="911" spans="1:10" ht="13.2" x14ac:dyDescent="0.25">
      <c r="A911" s="17"/>
      <c r="B911" s="17"/>
      <c r="D911" s="18"/>
      <c r="E911" s="18"/>
      <c r="F911" s="18"/>
      <c r="G911" s="18"/>
      <c r="H911" s="58"/>
      <c r="I911" s="21"/>
      <c r="J911" s="22"/>
    </row>
    <row r="912" spans="1:10" ht="13.2" x14ac:dyDescent="0.25">
      <c r="A912" s="17"/>
      <c r="B912" s="17"/>
      <c r="D912" s="18"/>
      <c r="E912" s="18"/>
      <c r="F912" s="18"/>
      <c r="G912" s="18"/>
      <c r="H912" s="58"/>
      <c r="I912" s="21"/>
      <c r="J912" s="22"/>
    </row>
    <row r="913" spans="1:10" ht="13.2" x14ac:dyDescent="0.25">
      <c r="A913" s="17"/>
      <c r="B913" s="17"/>
      <c r="D913" s="18"/>
      <c r="E913" s="18"/>
      <c r="F913" s="18"/>
      <c r="G913" s="18"/>
      <c r="H913" s="58"/>
      <c r="I913" s="21"/>
      <c r="J913" s="22"/>
    </row>
    <row r="914" spans="1:10" ht="13.2" x14ac:dyDescent="0.25">
      <c r="A914" s="17"/>
      <c r="B914" s="17"/>
      <c r="D914" s="18"/>
      <c r="E914" s="18"/>
      <c r="F914" s="18"/>
      <c r="G914" s="18"/>
      <c r="H914" s="58"/>
      <c r="I914" s="21"/>
      <c r="J914" s="22"/>
    </row>
    <row r="915" spans="1:10" ht="13.2" x14ac:dyDescent="0.25">
      <c r="A915" s="17"/>
      <c r="B915" s="17"/>
      <c r="D915" s="18"/>
      <c r="E915" s="18"/>
      <c r="F915" s="18"/>
      <c r="G915" s="18"/>
      <c r="H915" s="58"/>
      <c r="I915" s="21"/>
      <c r="J915" s="22"/>
    </row>
    <row r="916" spans="1:10" ht="13.2" x14ac:dyDescent="0.25">
      <c r="A916" s="17"/>
      <c r="B916" s="17"/>
      <c r="D916" s="18"/>
      <c r="E916" s="18"/>
      <c r="F916" s="18"/>
      <c r="G916" s="18"/>
      <c r="H916" s="58"/>
      <c r="I916" s="21"/>
      <c r="J916" s="22"/>
    </row>
    <row r="917" spans="1:10" ht="13.2" x14ac:dyDescent="0.25">
      <c r="A917" s="17"/>
      <c r="B917" s="17"/>
      <c r="D917" s="18"/>
      <c r="E917" s="18"/>
      <c r="F917" s="18"/>
      <c r="G917" s="18"/>
      <c r="H917" s="58"/>
      <c r="I917" s="21"/>
      <c r="J917" s="22"/>
    </row>
    <row r="918" spans="1:10" ht="13.2" x14ac:dyDescent="0.25">
      <c r="A918" s="17"/>
      <c r="B918" s="17"/>
      <c r="D918" s="18"/>
      <c r="E918" s="18"/>
      <c r="F918" s="18"/>
      <c r="G918" s="18"/>
      <c r="H918" s="58"/>
      <c r="I918" s="21"/>
      <c r="J918" s="22"/>
    </row>
    <row r="919" spans="1:10" ht="13.2" x14ac:dyDescent="0.25">
      <c r="A919" s="17"/>
      <c r="B919" s="17"/>
      <c r="D919" s="18"/>
      <c r="E919" s="18"/>
      <c r="F919" s="18"/>
      <c r="G919" s="18"/>
      <c r="H919" s="58"/>
      <c r="I919" s="21"/>
      <c r="J919" s="22"/>
    </row>
    <row r="920" spans="1:10" ht="13.2" x14ac:dyDescent="0.25">
      <c r="A920" s="17"/>
      <c r="B920" s="17"/>
      <c r="D920" s="18"/>
      <c r="E920" s="18"/>
      <c r="F920" s="18"/>
      <c r="G920" s="18"/>
      <c r="H920" s="58"/>
      <c r="I920" s="21"/>
      <c r="J920" s="22"/>
    </row>
    <row r="921" spans="1:10" ht="13.2" x14ac:dyDescent="0.25">
      <c r="A921" s="17"/>
      <c r="B921" s="17"/>
      <c r="D921" s="18"/>
      <c r="E921" s="18"/>
      <c r="F921" s="18"/>
      <c r="G921" s="18"/>
      <c r="H921" s="58"/>
      <c r="I921" s="21"/>
      <c r="J921" s="22"/>
    </row>
    <row r="922" spans="1:10" ht="13.2" x14ac:dyDescent="0.25">
      <c r="A922" s="17"/>
      <c r="B922" s="17"/>
      <c r="D922" s="18"/>
      <c r="E922" s="18"/>
      <c r="F922" s="18"/>
      <c r="G922" s="18"/>
      <c r="H922" s="58"/>
      <c r="I922" s="21"/>
      <c r="J922" s="22"/>
    </row>
    <row r="923" spans="1:10" ht="13.2" x14ac:dyDescent="0.25">
      <c r="A923" s="17"/>
      <c r="B923" s="17"/>
      <c r="D923" s="18"/>
      <c r="E923" s="18"/>
      <c r="F923" s="18"/>
      <c r="G923" s="18"/>
      <c r="H923" s="58"/>
      <c r="I923" s="21"/>
      <c r="J923" s="22"/>
    </row>
    <row r="924" spans="1:10" ht="13.2" x14ac:dyDescent="0.25">
      <c r="A924" s="17"/>
      <c r="B924" s="17"/>
      <c r="D924" s="18"/>
      <c r="E924" s="18"/>
      <c r="F924" s="18"/>
      <c r="G924" s="18"/>
      <c r="H924" s="58"/>
      <c r="I924" s="21"/>
      <c r="J924" s="22"/>
    </row>
    <row r="925" spans="1:10" ht="13.2" x14ac:dyDescent="0.25">
      <c r="A925" s="17"/>
      <c r="B925" s="17"/>
      <c r="D925" s="18"/>
      <c r="E925" s="18"/>
      <c r="F925" s="18"/>
      <c r="G925" s="18"/>
      <c r="H925" s="58"/>
      <c r="I925" s="21"/>
      <c r="J925" s="22"/>
    </row>
    <row r="926" spans="1:10" ht="13.2" x14ac:dyDescent="0.25">
      <c r="A926" s="17"/>
      <c r="B926" s="17"/>
      <c r="D926" s="18"/>
      <c r="E926" s="18"/>
      <c r="F926" s="18"/>
      <c r="G926" s="18"/>
      <c r="H926" s="58"/>
      <c r="I926" s="21"/>
      <c r="J926" s="22"/>
    </row>
    <row r="927" spans="1:10" ht="13.2" x14ac:dyDescent="0.25">
      <c r="A927" s="17"/>
      <c r="B927" s="17"/>
      <c r="D927" s="18"/>
      <c r="E927" s="18"/>
      <c r="F927" s="18"/>
      <c r="G927" s="18"/>
      <c r="H927" s="58"/>
      <c r="I927" s="21"/>
      <c r="J927" s="22"/>
    </row>
    <row r="928" spans="1:10" ht="13.2" x14ac:dyDescent="0.25">
      <c r="A928" s="17"/>
      <c r="B928" s="17"/>
      <c r="D928" s="18"/>
      <c r="E928" s="18"/>
      <c r="F928" s="18"/>
      <c r="G928" s="18"/>
      <c r="H928" s="58"/>
      <c r="I928" s="21"/>
      <c r="J928" s="22"/>
    </row>
    <row r="929" spans="1:10" ht="13.2" x14ac:dyDescent="0.25">
      <c r="A929" s="17"/>
      <c r="B929" s="17"/>
      <c r="D929" s="18"/>
      <c r="E929" s="18"/>
      <c r="F929" s="18"/>
      <c r="G929" s="18"/>
      <c r="H929" s="58"/>
      <c r="I929" s="21"/>
      <c r="J929" s="22"/>
    </row>
    <row r="930" spans="1:10" ht="13.2" x14ac:dyDescent="0.25">
      <c r="A930" s="17"/>
      <c r="B930" s="17"/>
      <c r="D930" s="18"/>
      <c r="E930" s="18"/>
      <c r="F930" s="18"/>
      <c r="G930" s="18"/>
      <c r="H930" s="58"/>
      <c r="I930" s="21"/>
      <c r="J930" s="22"/>
    </row>
    <row r="931" spans="1:10" ht="13.2" x14ac:dyDescent="0.25">
      <c r="A931" s="17"/>
      <c r="B931" s="17"/>
      <c r="D931" s="18"/>
      <c r="E931" s="18"/>
      <c r="F931" s="18"/>
      <c r="G931" s="18"/>
      <c r="H931" s="58"/>
      <c r="I931" s="21"/>
      <c r="J931" s="22"/>
    </row>
    <row r="932" spans="1:10" ht="13.2" x14ac:dyDescent="0.25">
      <c r="A932" s="17"/>
      <c r="B932" s="17"/>
      <c r="D932" s="18"/>
      <c r="E932" s="18"/>
      <c r="F932" s="18"/>
      <c r="G932" s="18"/>
      <c r="H932" s="58"/>
      <c r="I932" s="21"/>
      <c r="J932" s="22"/>
    </row>
    <row r="933" spans="1:10" ht="13.2" x14ac:dyDescent="0.25">
      <c r="A933" s="17"/>
      <c r="B933" s="17"/>
      <c r="D933" s="18"/>
      <c r="E933" s="18"/>
      <c r="F933" s="18"/>
      <c r="G933" s="18"/>
      <c r="H933" s="58"/>
      <c r="I933" s="21"/>
      <c r="J933" s="22"/>
    </row>
    <row r="934" spans="1:10" ht="13.2" x14ac:dyDescent="0.25">
      <c r="A934" s="17"/>
      <c r="B934" s="17"/>
      <c r="D934" s="18"/>
      <c r="E934" s="18"/>
      <c r="F934" s="18"/>
      <c r="G934" s="18"/>
      <c r="H934" s="58"/>
      <c r="I934" s="21"/>
      <c r="J934" s="22"/>
    </row>
    <row r="935" spans="1:10" ht="13.2" x14ac:dyDescent="0.25">
      <c r="A935" s="17"/>
      <c r="B935" s="17"/>
      <c r="D935" s="18"/>
      <c r="E935" s="18"/>
      <c r="F935" s="18"/>
      <c r="G935" s="18"/>
      <c r="H935" s="58"/>
      <c r="I935" s="21"/>
      <c r="J935" s="22"/>
    </row>
    <row r="936" spans="1:10" ht="13.2" x14ac:dyDescent="0.25">
      <c r="A936" s="17"/>
      <c r="B936" s="17"/>
      <c r="D936" s="18"/>
      <c r="E936" s="18"/>
      <c r="F936" s="18"/>
      <c r="G936" s="18"/>
      <c r="H936" s="58"/>
      <c r="I936" s="21"/>
      <c r="J936" s="22"/>
    </row>
    <row r="937" spans="1:10" ht="13.2" x14ac:dyDescent="0.25">
      <c r="A937" s="17"/>
      <c r="B937" s="17"/>
      <c r="D937" s="18"/>
      <c r="E937" s="18"/>
      <c r="F937" s="18"/>
      <c r="G937" s="18"/>
      <c r="H937" s="58"/>
      <c r="I937" s="21"/>
      <c r="J937" s="22"/>
    </row>
    <row r="938" spans="1:10" ht="13.2" x14ac:dyDescent="0.25">
      <c r="A938" s="17"/>
      <c r="B938" s="17"/>
      <c r="D938" s="18"/>
      <c r="E938" s="18"/>
      <c r="F938" s="18"/>
      <c r="G938" s="18"/>
      <c r="H938" s="58"/>
      <c r="I938" s="21"/>
      <c r="J938" s="22"/>
    </row>
    <row r="939" spans="1:10" ht="13.2" x14ac:dyDescent="0.25">
      <c r="A939" s="17"/>
      <c r="B939" s="17"/>
      <c r="D939" s="18"/>
      <c r="E939" s="18"/>
      <c r="F939" s="18"/>
      <c r="G939" s="18"/>
      <c r="H939" s="58"/>
      <c r="I939" s="21"/>
      <c r="J939" s="22"/>
    </row>
    <row r="940" spans="1:10" ht="13.2" x14ac:dyDescent="0.25">
      <c r="A940" s="17"/>
      <c r="B940" s="17"/>
      <c r="D940" s="18"/>
      <c r="E940" s="18"/>
      <c r="F940" s="18"/>
      <c r="G940" s="18"/>
      <c r="H940" s="58"/>
      <c r="I940" s="21"/>
      <c r="J940" s="22"/>
    </row>
    <row r="941" spans="1:10" ht="13.2" x14ac:dyDescent="0.25">
      <c r="A941" s="17"/>
      <c r="B941" s="17"/>
      <c r="D941" s="18"/>
      <c r="E941" s="18"/>
      <c r="F941" s="18"/>
      <c r="G941" s="18"/>
      <c r="H941" s="58"/>
      <c r="I941" s="21"/>
      <c r="J941" s="22"/>
    </row>
    <row r="942" spans="1:10" ht="13.2" x14ac:dyDescent="0.25">
      <c r="A942" s="17"/>
      <c r="B942" s="17"/>
      <c r="D942" s="18"/>
      <c r="E942" s="18"/>
      <c r="F942" s="18"/>
      <c r="G942" s="18"/>
      <c r="H942" s="58"/>
      <c r="I942" s="21"/>
      <c r="J942" s="22"/>
    </row>
    <row r="943" spans="1:10" ht="13.2" x14ac:dyDescent="0.25">
      <c r="A943" s="17"/>
      <c r="B943" s="17"/>
      <c r="D943" s="18"/>
      <c r="E943" s="18"/>
      <c r="F943" s="18"/>
      <c r="G943" s="18"/>
      <c r="H943" s="58"/>
      <c r="I943" s="21"/>
      <c r="J943" s="22"/>
    </row>
    <row r="944" spans="1:10" ht="13.2" x14ac:dyDescent="0.25">
      <c r="A944" s="17"/>
      <c r="B944" s="17"/>
      <c r="D944" s="18"/>
      <c r="E944" s="18"/>
      <c r="F944" s="18"/>
      <c r="G944" s="18"/>
      <c r="H944" s="58"/>
      <c r="I944" s="21"/>
      <c r="J944" s="22"/>
    </row>
    <row r="945" spans="1:10" ht="13.2" x14ac:dyDescent="0.25">
      <c r="A945" s="17"/>
      <c r="B945" s="17"/>
      <c r="D945" s="18"/>
      <c r="E945" s="18"/>
      <c r="F945" s="18"/>
      <c r="G945" s="18"/>
      <c r="H945" s="58"/>
      <c r="I945" s="21"/>
      <c r="J945" s="22"/>
    </row>
    <row r="946" spans="1:10" ht="13.2" x14ac:dyDescent="0.25">
      <c r="A946" s="17"/>
      <c r="B946" s="17"/>
      <c r="D946" s="18"/>
      <c r="E946" s="18"/>
      <c r="F946" s="18"/>
      <c r="G946" s="18"/>
      <c r="H946" s="58"/>
      <c r="I946" s="21"/>
      <c r="J946" s="22"/>
    </row>
    <row r="947" spans="1:10" ht="13.2" x14ac:dyDescent="0.25">
      <c r="A947" s="17"/>
      <c r="B947" s="17"/>
      <c r="D947" s="18"/>
      <c r="E947" s="18"/>
      <c r="F947" s="18"/>
      <c r="G947" s="18"/>
      <c r="H947" s="58"/>
      <c r="I947" s="21"/>
      <c r="J947" s="22"/>
    </row>
    <row r="948" spans="1:10" ht="13.2" x14ac:dyDescent="0.25">
      <c r="A948" s="17"/>
      <c r="B948" s="17"/>
      <c r="D948" s="18"/>
      <c r="E948" s="18"/>
      <c r="F948" s="18"/>
      <c r="G948" s="18"/>
      <c r="H948" s="58"/>
      <c r="I948" s="21"/>
      <c r="J948" s="22"/>
    </row>
    <row r="949" spans="1:10" ht="13.2" x14ac:dyDescent="0.25">
      <c r="A949" s="17"/>
      <c r="B949" s="17"/>
      <c r="D949" s="18"/>
      <c r="E949" s="18"/>
      <c r="F949" s="18"/>
      <c r="G949" s="18"/>
      <c r="H949" s="58"/>
      <c r="I949" s="21"/>
      <c r="J949" s="22"/>
    </row>
    <row r="950" spans="1:10" ht="13.2" x14ac:dyDescent="0.25">
      <c r="A950" s="17"/>
      <c r="B950" s="17"/>
      <c r="D950" s="18"/>
      <c r="E950" s="18"/>
      <c r="F950" s="18"/>
      <c r="G950" s="18"/>
      <c r="H950" s="58"/>
      <c r="I950" s="21"/>
      <c r="J950" s="22"/>
    </row>
    <row r="951" spans="1:10" ht="13.2" x14ac:dyDescent="0.25">
      <c r="A951" s="17"/>
      <c r="B951" s="17"/>
      <c r="D951" s="18"/>
      <c r="E951" s="18"/>
      <c r="F951" s="18"/>
      <c r="G951" s="18"/>
      <c r="H951" s="58"/>
      <c r="I951" s="21"/>
      <c r="J951" s="22"/>
    </row>
    <row r="952" spans="1:10" ht="13.2" x14ac:dyDescent="0.25">
      <c r="A952" s="17"/>
      <c r="B952" s="17"/>
      <c r="D952" s="18"/>
      <c r="E952" s="18"/>
      <c r="F952" s="18"/>
      <c r="G952" s="18"/>
      <c r="H952" s="58"/>
      <c r="I952" s="21"/>
      <c r="J952" s="22"/>
    </row>
    <row r="953" spans="1:10" ht="13.2" x14ac:dyDescent="0.25">
      <c r="A953" s="17"/>
      <c r="B953" s="17"/>
      <c r="D953" s="18"/>
      <c r="E953" s="18"/>
      <c r="F953" s="18"/>
      <c r="G953" s="18"/>
      <c r="H953" s="58"/>
      <c r="I953" s="21"/>
      <c r="J953" s="22"/>
    </row>
    <row r="954" spans="1:10" ht="13.2" x14ac:dyDescent="0.25">
      <c r="A954" s="17"/>
      <c r="B954" s="17"/>
      <c r="D954" s="18"/>
      <c r="E954" s="18"/>
      <c r="F954" s="18"/>
      <c r="G954" s="18"/>
      <c r="H954" s="58"/>
      <c r="I954" s="21"/>
      <c r="J954" s="22"/>
    </row>
    <row r="955" spans="1:10" ht="13.2" x14ac:dyDescent="0.25">
      <c r="A955" s="17"/>
      <c r="B955" s="17"/>
      <c r="D955" s="18"/>
      <c r="E955" s="18"/>
      <c r="F955" s="18"/>
      <c r="G955" s="18"/>
      <c r="H955" s="58"/>
      <c r="I955" s="21"/>
      <c r="J955" s="22"/>
    </row>
    <row r="956" spans="1:10" ht="13.2" x14ac:dyDescent="0.25">
      <c r="A956" s="17"/>
      <c r="B956" s="17"/>
      <c r="D956" s="18"/>
      <c r="E956" s="18"/>
      <c r="F956" s="18"/>
      <c r="G956" s="18"/>
      <c r="H956" s="58"/>
      <c r="I956" s="21"/>
      <c r="J956" s="22"/>
    </row>
    <row r="957" spans="1:10" ht="13.2" x14ac:dyDescent="0.25">
      <c r="A957" s="17"/>
      <c r="B957" s="17"/>
      <c r="D957" s="18"/>
      <c r="E957" s="18"/>
      <c r="F957" s="18"/>
      <c r="G957" s="18"/>
      <c r="H957" s="58"/>
      <c r="I957" s="21"/>
      <c r="J957" s="22"/>
    </row>
    <row r="958" spans="1:10" ht="13.2" x14ac:dyDescent="0.25">
      <c r="A958" s="17"/>
      <c r="B958" s="17"/>
      <c r="D958" s="18"/>
      <c r="E958" s="18"/>
      <c r="F958" s="18"/>
      <c r="G958" s="18"/>
      <c r="H958" s="58"/>
      <c r="I958" s="21"/>
      <c r="J958" s="22"/>
    </row>
    <row r="959" spans="1:10" ht="13.2" x14ac:dyDescent="0.25">
      <c r="A959" s="17"/>
      <c r="B959" s="17"/>
      <c r="D959" s="18"/>
      <c r="E959" s="18"/>
      <c r="F959" s="18"/>
      <c r="G959" s="18"/>
      <c r="H959" s="58"/>
      <c r="I959" s="21"/>
      <c r="J959" s="22"/>
    </row>
    <row r="960" spans="1:10" ht="13.2" x14ac:dyDescent="0.25">
      <c r="A960" s="17"/>
      <c r="B960" s="17"/>
      <c r="D960" s="18"/>
      <c r="E960" s="18"/>
      <c r="F960" s="18"/>
      <c r="G960" s="18"/>
      <c r="H960" s="58"/>
      <c r="I960" s="21"/>
      <c r="J960" s="22"/>
    </row>
    <row r="961" spans="1:10" ht="13.2" x14ac:dyDescent="0.25">
      <c r="A961" s="17"/>
      <c r="B961" s="17"/>
      <c r="D961" s="18"/>
      <c r="E961" s="18"/>
      <c r="F961" s="18"/>
      <c r="G961" s="18"/>
      <c r="H961" s="58"/>
      <c r="I961" s="21"/>
      <c r="J961" s="22"/>
    </row>
    <row r="962" spans="1:10" ht="13.2" x14ac:dyDescent="0.25">
      <c r="A962" s="17"/>
      <c r="B962" s="17"/>
      <c r="D962" s="18"/>
      <c r="E962" s="18"/>
      <c r="F962" s="18"/>
      <c r="G962" s="18"/>
      <c r="H962" s="58"/>
      <c r="I962" s="21"/>
      <c r="J962" s="22"/>
    </row>
    <row r="963" spans="1:10" ht="13.2" x14ac:dyDescent="0.25">
      <c r="A963" s="17"/>
      <c r="B963" s="17"/>
      <c r="D963" s="18"/>
      <c r="E963" s="18"/>
      <c r="F963" s="18"/>
      <c r="G963" s="18"/>
      <c r="H963" s="58"/>
      <c r="I963" s="21"/>
      <c r="J963" s="22"/>
    </row>
    <row r="964" spans="1:10" ht="13.2" x14ac:dyDescent="0.25">
      <c r="A964" s="17"/>
      <c r="B964" s="17"/>
      <c r="D964" s="18"/>
      <c r="E964" s="18"/>
      <c r="F964" s="18"/>
      <c r="G964" s="18"/>
      <c r="H964" s="58"/>
      <c r="I964" s="21"/>
      <c r="J964" s="22"/>
    </row>
    <row r="965" spans="1:10" ht="13.2" x14ac:dyDescent="0.25">
      <c r="A965" s="17"/>
      <c r="B965" s="17"/>
      <c r="D965" s="18"/>
      <c r="E965" s="18"/>
      <c r="F965" s="18"/>
      <c r="G965" s="18"/>
      <c r="H965" s="58"/>
      <c r="I965" s="21"/>
      <c r="J965" s="22"/>
    </row>
    <row r="966" spans="1:10" ht="13.2" x14ac:dyDescent="0.25">
      <c r="A966" s="17"/>
      <c r="B966" s="17"/>
      <c r="D966" s="18"/>
      <c r="E966" s="18"/>
      <c r="F966" s="18"/>
      <c r="G966" s="18"/>
      <c r="H966" s="58"/>
      <c r="I966" s="21"/>
      <c r="J966" s="22"/>
    </row>
    <row r="967" spans="1:10" ht="13.2" x14ac:dyDescent="0.25">
      <c r="A967" s="17"/>
      <c r="B967" s="17"/>
      <c r="D967" s="18"/>
      <c r="E967" s="18"/>
      <c r="F967" s="18"/>
      <c r="G967" s="18"/>
      <c r="H967" s="58"/>
      <c r="I967" s="21"/>
      <c r="J967" s="22"/>
    </row>
    <row r="968" spans="1:10" ht="13.2" x14ac:dyDescent="0.25">
      <c r="A968" s="17"/>
      <c r="B968" s="17"/>
      <c r="D968" s="18"/>
      <c r="E968" s="18"/>
      <c r="F968" s="18"/>
      <c r="G968" s="18"/>
      <c r="H968" s="58"/>
      <c r="I968" s="21"/>
      <c r="J968" s="22"/>
    </row>
    <row r="969" spans="1:10" ht="13.2" x14ac:dyDescent="0.25">
      <c r="A969" s="17"/>
      <c r="B969" s="17"/>
      <c r="D969" s="18"/>
      <c r="E969" s="18"/>
      <c r="F969" s="18"/>
      <c r="G969" s="18"/>
      <c r="H969" s="58"/>
      <c r="I969" s="21"/>
      <c r="J969" s="22"/>
    </row>
    <row r="970" spans="1:10" ht="13.2" x14ac:dyDescent="0.25">
      <c r="A970" s="17"/>
      <c r="B970" s="17"/>
      <c r="D970" s="18"/>
      <c r="E970" s="18"/>
      <c r="F970" s="18"/>
      <c r="G970" s="18"/>
      <c r="H970" s="58"/>
      <c r="I970" s="21"/>
      <c r="J970" s="22"/>
    </row>
    <row r="971" spans="1:10" ht="13.2" x14ac:dyDescent="0.25">
      <c r="A971" s="17"/>
      <c r="B971" s="17"/>
      <c r="D971" s="18"/>
      <c r="E971" s="18"/>
      <c r="F971" s="18"/>
      <c r="G971" s="18"/>
      <c r="H971" s="58"/>
      <c r="I971" s="21"/>
      <c r="J971" s="22"/>
    </row>
    <row r="972" spans="1:10" ht="13.2" x14ac:dyDescent="0.25">
      <c r="A972" s="17"/>
      <c r="B972" s="17"/>
      <c r="D972" s="18"/>
      <c r="E972" s="18"/>
      <c r="F972" s="18"/>
      <c r="G972" s="18"/>
      <c r="H972" s="58"/>
      <c r="I972" s="21"/>
      <c r="J972" s="22"/>
    </row>
    <row r="973" spans="1:10" ht="13.2" x14ac:dyDescent="0.25">
      <c r="A973" s="17"/>
      <c r="B973" s="17"/>
      <c r="D973" s="18"/>
      <c r="E973" s="18"/>
      <c r="F973" s="18"/>
      <c r="G973" s="18"/>
      <c r="H973" s="58"/>
      <c r="I973" s="21"/>
      <c r="J973" s="22"/>
    </row>
    <row r="974" spans="1:10" ht="13.2" x14ac:dyDescent="0.25">
      <c r="A974" s="17"/>
      <c r="B974" s="17"/>
      <c r="D974" s="18"/>
      <c r="E974" s="18"/>
      <c r="F974" s="18"/>
      <c r="G974" s="18"/>
      <c r="H974" s="58"/>
      <c r="I974" s="21"/>
      <c r="J974" s="22"/>
    </row>
    <row r="975" spans="1:10" ht="13.2" x14ac:dyDescent="0.25">
      <c r="A975" s="17"/>
      <c r="B975" s="17"/>
      <c r="D975" s="18"/>
      <c r="E975" s="18"/>
      <c r="F975" s="18"/>
      <c r="G975" s="18"/>
      <c r="H975" s="58"/>
      <c r="I975" s="21"/>
      <c r="J975" s="22"/>
    </row>
    <row r="976" spans="1:10" ht="13.2" x14ac:dyDescent="0.25">
      <c r="A976" s="17"/>
      <c r="B976" s="17"/>
      <c r="D976" s="18"/>
      <c r="E976" s="18"/>
      <c r="F976" s="18"/>
      <c r="G976" s="18"/>
      <c r="H976" s="58"/>
      <c r="I976" s="21"/>
      <c r="J976" s="22"/>
    </row>
    <row r="977" spans="1:10" ht="13.2" x14ac:dyDescent="0.25">
      <c r="A977" s="17"/>
      <c r="B977" s="17"/>
      <c r="D977" s="18"/>
      <c r="E977" s="18"/>
      <c r="F977" s="18"/>
      <c r="G977" s="18"/>
      <c r="H977" s="58"/>
      <c r="I977" s="21"/>
      <c r="J977" s="22"/>
    </row>
    <row r="978" spans="1:10" ht="13.2" x14ac:dyDescent="0.25">
      <c r="A978" s="17"/>
      <c r="B978" s="17"/>
      <c r="D978" s="18"/>
      <c r="E978" s="18"/>
      <c r="F978" s="18"/>
      <c r="G978" s="18"/>
      <c r="H978" s="58"/>
      <c r="I978" s="21"/>
      <c r="J978" s="22"/>
    </row>
    <row r="979" spans="1:10" ht="13.2" x14ac:dyDescent="0.25">
      <c r="A979" s="17"/>
      <c r="B979" s="17"/>
      <c r="D979" s="18"/>
      <c r="E979" s="18"/>
      <c r="F979" s="18"/>
      <c r="G979" s="18"/>
      <c r="H979" s="58"/>
      <c r="I979" s="21"/>
      <c r="J979" s="22"/>
    </row>
    <row r="980" spans="1:10" ht="13.2" x14ac:dyDescent="0.25">
      <c r="A980" s="17"/>
      <c r="B980" s="17"/>
      <c r="D980" s="18"/>
      <c r="E980" s="18"/>
      <c r="F980" s="18"/>
      <c r="G980" s="18"/>
      <c r="H980" s="58"/>
      <c r="I980" s="21"/>
      <c r="J980" s="22"/>
    </row>
    <row r="981" spans="1:10" ht="13.2" x14ac:dyDescent="0.25">
      <c r="A981" s="17"/>
      <c r="B981" s="17"/>
      <c r="D981" s="18"/>
      <c r="E981" s="18"/>
      <c r="F981" s="18"/>
      <c r="G981" s="18"/>
      <c r="H981" s="58"/>
      <c r="I981" s="21"/>
      <c r="J981" s="22"/>
    </row>
    <row r="982" spans="1:10" ht="13.2" x14ac:dyDescent="0.25">
      <c r="A982" s="17"/>
      <c r="B982" s="17"/>
      <c r="D982" s="18"/>
      <c r="E982" s="18"/>
      <c r="F982" s="18"/>
      <c r="G982" s="18"/>
      <c r="H982" s="58"/>
      <c r="I982" s="21"/>
      <c r="J982" s="22"/>
    </row>
    <row r="983" spans="1:10" ht="13.2" x14ac:dyDescent="0.25">
      <c r="A983" s="17"/>
      <c r="B983" s="17"/>
      <c r="D983" s="18"/>
      <c r="E983" s="18"/>
      <c r="F983" s="18"/>
      <c r="G983" s="18"/>
      <c r="H983" s="58"/>
      <c r="I983" s="21"/>
      <c r="J983" s="22"/>
    </row>
    <row r="984" spans="1:10" ht="13.2" x14ac:dyDescent="0.25">
      <c r="A984" s="17"/>
      <c r="B984" s="17"/>
      <c r="D984" s="18"/>
      <c r="E984" s="18"/>
      <c r="F984" s="18"/>
      <c r="G984" s="18"/>
      <c r="H984" s="58"/>
      <c r="I984" s="21"/>
      <c r="J984" s="22"/>
    </row>
    <row r="985" spans="1:10" ht="13.2" x14ac:dyDescent="0.25">
      <c r="A985" s="17"/>
      <c r="B985" s="17"/>
      <c r="D985" s="18"/>
      <c r="E985" s="18"/>
      <c r="F985" s="18"/>
      <c r="G985" s="18"/>
      <c r="H985" s="58"/>
      <c r="I985" s="21"/>
      <c r="J985" s="22"/>
    </row>
    <row r="986" spans="1:10" ht="13.2" x14ac:dyDescent="0.25">
      <c r="A986" s="17"/>
      <c r="B986" s="17"/>
      <c r="D986" s="18"/>
      <c r="E986" s="18"/>
      <c r="F986" s="18"/>
      <c r="G986" s="18"/>
      <c r="H986" s="58"/>
      <c r="I986" s="21"/>
      <c r="J986" s="22"/>
    </row>
    <row r="987" spans="1:10" ht="13.2" x14ac:dyDescent="0.25">
      <c r="A987" s="17"/>
      <c r="B987" s="17"/>
      <c r="D987" s="18"/>
      <c r="E987" s="18"/>
      <c r="F987" s="18"/>
      <c r="G987" s="18"/>
      <c r="H987" s="58"/>
      <c r="I987" s="21"/>
      <c r="J987" s="22"/>
    </row>
    <row r="988" spans="1:10" ht="13.2" x14ac:dyDescent="0.25">
      <c r="A988" s="17"/>
      <c r="B988" s="17"/>
      <c r="D988" s="18"/>
      <c r="E988" s="18"/>
      <c r="F988" s="18"/>
      <c r="G988" s="18"/>
      <c r="H988" s="58"/>
      <c r="I988" s="21"/>
      <c r="J988" s="22"/>
    </row>
    <row r="989" spans="1:10" ht="13.2" x14ac:dyDescent="0.25">
      <c r="A989" s="17"/>
      <c r="B989" s="17"/>
      <c r="D989" s="18"/>
      <c r="E989" s="18"/>
      <c r="F989" s="18"/>
      <c r="G989" s="18"/>
      <c r="H989" s="58"/>
      <c r="I989" s="21"/>
      <c r="J989" s="22"/>
    </row>
    <row r="990" spans="1:10" ht="13.2" x14ac:dyDescent="0.25">
      <c r="A990" s="17"/>
      <c r="B990" s="17"/>
      <c r="D990" s="18"/>
      <c r="E990" s="18"/>
      <c r="F990" s="18"/>
      <c r="G990" s="18"/>
      <c r="H990" s="58"/>
      <c r="I990" s="21"/>
      <c r="J990" s="22"/>
    </row>
    <row r="991" spans="1:10" ht="13.2" x14ac:dyDescent="0.25">
      <c r="A991" s="17"/>
      <c r="B991" s="17"/>
      <c r="D991" s="18"/>
      <c r="E991" s="18"/>
      <c r="F991" s="18"/>
      <c r="G991" s="18"/>
      <c r="H991" s="58"/>
      <c r="I991" s="21"/>
      <c r="J991" s="22"/>
    </row>
    <row r="992" spans="1:10" ht="13.2" x14ac:dyDescent="0.25">
      <c r="A992" s="17"/>
      <c r="B992" s="17"/>
      <c r="D992" s="18"/>
      <c r="E992" s="18"/>
      <c r="F992" s="18"/>
      <c r="G992" s="18"/>
      <c r="H992" s="58"/>
      <c r="I992" s="21"/>
      <c r="J992" s="22"/>
    </row>
    <row r="993" spans="1:10" ht="13.2" x14ac:dyDescent="0.25">
      <c r="A993" s="17"/>
      <c r="B993" s="17"/>
      <c r="D993" s="18"/>
      <c r="E993" s="18"/>
      <c r="F993" s="18"/>
      <c r="G993" s="18"/>
      <c r="H993" s="58"/>
      <c r="I993" s="21"/>
      <c r="J993" s="22"/>
    </row>
    <row r="994" spans="1:10" ht="13.2" x14ac:dyDescent="0.25">
      <c r="A994" s="17"/>
      <c r="B994" s="17"/>
      <c r="D994" s="18"/>
      <c r="E994" s="18"/>
      <c r="F994" s="18"/>
      <c r="G994" s="18"/>
      <c r="H994" s="58"/>
      <c r="I994" s="21"/>
      <c r="J994" s="22"/>
    </row>
    <row r="995" spans="1:10" ht="13.2" x14ac:dyDescent="0.25">
      <c r="A995" s="17"/>
      <c r="B995" s="17"/>
      <c r="D995" s="18"/>
      <c r="E995" s="18"/>
      <c r="F995" s="18"/>
      <c r="G995" s="18"/>
      <c r="H995" s="58"/>
      <c r="I995" s="21"/>
      <c r="J995" s="22"/>
    </row>
    <row r="996" spans="1:10" ht="13.2" x14ac:dyDescent="0.25">
      <c r="A996" s="17"/>
      <c r="B996" s="17"/>
      <c r="D996" s="18"/>
      <c r="E996" s="18"/>
      <c r="F996" s="18"/>
      <c r="G996" s="18"/>
      <c r="H996" s="58"/>
      <c r="I996" s="21"/>
      <c r="J996" s="22"/>
    </row>
    <row r="997" spans="1:10" ht="13.2" x14ac:dyDescent="0.25">
      <c r="A997" s="17"/>
      <c r="B997" s="17"/>
      <c r="D997" s="18"/>
      <c r="E997" s="18"/>
      <c r="F997" s="18"/>
      <c r="G997" s="18"/>
      <c r="H997" s="58"/>
      <c r="I997" s="21"/>
      <c r="J997" s="22"/>
    </row>
    <row r="998" spans="1:10" ht="13.2" x14ac:dyDescent="0.25">
      <c r="A998" s="17"/>
      <c r="B998" s="17"/>
      <c r="D998" s="18"/>
      <c r="E998" s="18"/>
      <c r="F998" s="18"/>
      <c r="G998" s="18"/>
      <c r="H998" s="58"/>
      <c r="I998" s="21"/>
      <c r="J998" s="22"/>
    </row>
    <row r="999" spans="1:10" ht="13.2" x14ac:dyDescent="0.25">
      <c r="A999" s="17"/>
      <c r="B999" s="17"/>
      <c r="D999" s="18"/>
      <c r="E999" s="18"/>
      <c r="F999" s="18"/>
      <c r="G999" s="18"/>
      <c r="H999" s="58"/>
      <c r="I999" s="21"/>
      <c r="J999" s="22"/>
    </row>
    <row r="1000" spans="1:10" ht="13.2" x14ac:dyDescent="0.25">
      <c r="A1000" s="17"/>
      <c r="B1000" s="17"/>
      <c r="D1000" s="18"/>
      <c r="E1000" s="18"/>
      <c r="F1000" s="18"/>
      <c r="G1000" s="18"/>
      <c r="H1000" s="58"/>
      <c r="I1000" s="21"/>
      <c r="J1000" s="22"/>
    </row>
    <row r="1001" spans="1:10" ht="13.2" x14ac:dyDescent="0.25">
      <c r="A1001" s="17"/>
      <c r="B1001" s="17"/>
      <c r="D1001" s="18"/>
      <c r="E1001" s="18"/>
      <c r="F1001" s="18"/>
      <c r="G1001" s="18"/>
      <c r="H1001" s="58"/>
      <c r="I1001" s="21"/>
      <c r="J1001" s="22"/>
    </row>
    <row r="1002" spans="1:10" ht="13.2" x14ac:dyDescent="0.25">
      <c r="A1002" s="17"/>
      <c r="B1002" s="17"/>
      <c r="D1002" s="18"/>
      <c r="E1002" s="18"/>
      <c r="F1002" s="18"/>
      <c r="G1002" s="18"/>
      <c r="H1002" s="58"/>
      <c r="I1002" s="21"/>
      <c r="J1002" s="22"/>
    </row>
    <row r="1003" spans="1:10" ht="13.2" x14ac:dyDescent="0.25">
      <c r="A1003" s="17"/>
      <c r="B1003" s="17"/>
      <c r="D1003" s="18"/>
      <c r="E1003" s="18"/>
      <c r="F1003" s="18"/>
      <c r="G1003" s="18"/>
      <c r="H1003" s="58"/>
      <c r="I1003" s="21"/>
      <c r="J1003" s="22"/>
    </row>
    <row r="1004" spans="1:10" ht="13.2" x14ac:dyDescent="0.25">
      <c r="A1004" s="17"/>
      <c r="B1004" s="17"/>
      <c r="D1004" s="18"/>
      <c r="E1004" s="18"/>
      <c r="F1004" s="18"/>
      <c r="G1004" s="18"/>
      <c r="H1004" s="58"/>
      <c r="I1004" s="21"/>
      <c r="J1004" s="22"/>
    </row>
    <row r="1005" spans="1:10" ht="13.2" x14ac:dyDescent="0.25">
      <c r="A1005" s="17"/>
      <c r="B1005" s="17"/>
      <c r="D1005" s="18"/>
      <c r="E1005" s="18"/>
      <c r="F1005" s="18"/>
      <c r="G1005" s="18"/>
      <c r="H1005" s="58"/>
      <c r="I1005" s="21"/>
      <c r="J1005" s="22"/>
    </row>
    <row r="1006" spans="1:10" ht="13.2" x14ac:dyDescent="0.25">
      <c r="A1006" s="17"/>
      <c r="B1006" s="17"/>
      <c r="D1006" s="18"/>
      <c r="E1006" s="18"/>
      <c r="F1006" s="18"/>
      <c r="G1006" s="18"/>
      <c r="H1006" s="58"/>
      <c r="I1006" s="21"/>
      <c r="J1006" s="22"/>
    </row>
    <row r="1007" spans="1:10" ht="13.2" x14ac:dyDescent="0.25">
      <c r="A1007" s="17"/>
      <c r="B1007" s="17"/>
      <c r="D1007" s="18"/>
      <c r="E1007" s="18"/>
      <c r="F1007" s="18"/>
      <c r="G1007" s="18"/>
      <c r="H1007" s="58"/>
      <c r="I1007" s="21"/>
      <c r="J1007" s="22"/>
    </row>
    <row r="1008" spans="1:10" ht="13.2" x14ac:dyDescent="0.25">
      <c r="A1008" s="17"/>
      <c r="B1008" s="17"/>
      <c r="D1008" s="18"/>
      <c r="E1008" s="18"/>
      <c r="F1008" s="18"/>
      <c r="G1008" s="18"/>
      <c r="H1008" s="58"/>
      <c r="I1008" s="21"/>
      <c r="J1008" s="22"/>
    </row>
    <row r="1009" spans="1:10" ht="13.2" x14ac:dyDescent="0.25">
      <c r="A1009" s="17"/>
      <c r="B1009" s="17"/>
      <c r="D1009" s="18"/>
      <c r="E1009" s="18"/>
      <c r="F1009" s="18"/>
      <c r="G1009" s="18"/>
      <c r="H1009" s="58"/>
      <c r="I1009" s="21"/>
      <c r="J1009" s="22"/>
    </row>
    <row r="1010" spans="1:10" ht="13.2" x14ac:dyDescent="0.25">
      <c r="A1010" s="17"/>
      <c r="B1010" s="17"/>
      <c r="D1010" s="18"/>
      <c r="E1010" s="18"/>
      <c r="F1010" s="18"/>
      <c r="G1010" s="18"/>
      <c r="H1010" s="58"/>
      <c r="I1010" s="21"/>
      <c r="J1010" s="22"/>
    </row>
    <row r="1011" spans="1:10" ht="13.2" x14ac:dyDescent="0.25">
      <c r="A1011" s="17"/>
      <c r="B1011" s="17"/>
      <c r="D1011" s="18"/>
      <c r="E1011" s="18"/>
      <c r="F1011" s="18"/>
      <c r="G1011" s="18"/>
      <c r="H1011" s="58"/>
      <c r="I1011" s="21"/>
      <c r="J1011" s="22"/>
    </row>
    <row r="1012" spans="1:10" ht="13.2" x14ac:dyDescent="0.25">
      <c r="A1012" s="17"/>
      <c r="B1012" s="17"/>
      <c r="D1012" s="18"/>
      <c r="E1012" s="18"/>
      <c r="F1012" s="18"/>
      <c r="G1012" s="18"/>
      <c r="H1012" s="58"/>
      <c r="I1012" s="21"/>
      <c r="J1012" s="22"/>
    </row>
    <row r="1013" spans="1:10" ht="13.2" x14ac:dyDescent="0.25">
      <c r="A1013" s="17"/>
      <c r="B1013" s="17"/>
      <c r="D1013" s="18"/>
      <c r="E1013" s="18"/>
      <c r="F1013" s="18"/>
      <c r="G1013" s="18"/>
      <c r="H1013" s="58"/>
      <c r="I1013" s="21"/>
      <c r="J1013" s="22"/>
    </row>
    <row r="1014" spans="1:10" ht="13.2" x14ac:dyDescent="0.25">
      <c r="A1014" s="17"/>
      <c r="B1014" s="17"/>
      <c r="D1014" s="18"/>
      <c r="E1014" s="18"/>
      <c r="F1014" s="18"/>
      <c r="G1014" s="18"/>
      <c r="H1014" s="58"/>
      <c r="I1014" s="21"/>
      <c r="J1014" s="22"/>
    </row>
    <row r="1015" spans="1:10" ht="13.2" x14ac:dyDescent="0.25">
      <c r="A1015" s="17"/>
      <c r="B1015" s="17"/>
      <c r="D1015" s="18"/>
      <c r="E1015" s="18"/>
      <c r="F1015" s="18"/>
      <c r="G1015" s="18"/>
      <c r="H1015" s="58"/>
      <c r="I1015" s="21"/>
      <c r="J1015" s="22"/>
    </row>
    <row r="1016" spans="1:10" ht="13.2" x14ac:dyDescent="0.25">
      <c r="A1016" s="17"/>
      <c r="B1016" s="17"/>
      <c r="D1016" s="18"/>
      <c r="E1016" s="18"/>
      <c r="F1016" s="18"/>
      <c r="G1016" s="18"/>
      <c r="H1016" s="58"/>
      <c r="I1016" s="21"/>
      <c r="J1016" s="22"/>
    </row>
    <row r="1017" spans="1:10" ht="13.2" x14ac:dyDescent="0.25">
      <c r="A1017" s="17"/>
      <c r="B1017" s="17"/>
      <c r="D1017" s="18"/>
      <c r="E1017" s="18"/>
      <c r="F1017" s="18"/>
      <c r="G1017" s="18"/>
      <c r="H1017" s="58"/>
      <c r="I1017" s="21"/>
      <c r="J1017" s="22"/>
    </row>
    <row r="1018" spans="1:10" ht="13.2" x14ac:dyDescent="0.25">
      <c r="A1018" s="17"/>
      <c r="B1018" s="17"/>
      <c r="D1018" s="18"/>
      <c r="E1018" s="18"/>
      <c r="F1018" s="18"/>
      <c r="G1018" s="18"/>
      <c r="H1018" s="58"/>
      <c r="I1018" s="21"/>
      <c r="J1018" s="22"/>
    </row>
    <row r="1019" spans="1:10" ht="13.2" x14ac:dyDescent="0.25">
      <c r="A1019" s="17"/>
      <c r="B1019" s="17"/>
      <c r="D1019" s="18"/>
      <c r="E1019" s="18"/>
      <c r="F1019" s="18"/>
      <c r="G1019" s="18"/>
      <c r="H1019" s="58"/>
      <c r="I1019" s="21"/>
      <c r="J1019" s="22"/>
    </row>
    <row r="1020" spans="1:10" ht="13.2" x14ac:dyDescent="0.25">
      <c r="A1020" s="17"/>
      <c r="B1020" s="17"/>
      <c r="D1020" s="18"/>
      <c r="E1020" s="18"/>
      <c r="F1020" s="18"/>
      <c r="G1020" s="18"/>
      <c r="H1020" s="58"/>
      <c r="I1020" s="21"/>
      <c r="J1020" s="22"/>
    </row>
    <row r="1021" spans="1:10" ht="13.2" x14ac:dyDescent="0.25">
      <c r="A1021" s="17"/>
      <c r="B1021" s="17"/>
      <c r="D1021" s="18"/>
      <c r="E1021" s="18"/>
      <c r="F1021" s="18"/>
      <c r="G1021" s="18"/>
      <c r="H1021" s="58"/>
      <c r="I1021" s="21"/>
      <c r="J1021" s="22"/>
    </row>
    <row r="1022" spans="1:10" ht="13.2" x14ac:dyDescent="0.25">
      <c r="A1022" s="17"/>
      <c r="B1022" s="17"/>
      <c r="D1022" s="18"/>
      <c r="E1022" s="18"/>
      <c r="F1022" s="18"/>
      <c r="G1022" s="18"/>
      <c r="H1022" s="58"/>
      <c r="I1022" s="21"/>
      <c r="J1022" s="22"/>
    </row>
    <row r="1023" spans="1:10" ht="13.2" x14ac:dyDescent="0.25">
      <c r="A1023" s="17"/>
      <c r="B1023" s="17"/>
      <c r="D1023" s="18"/>
      <c r="E1023" s="18"/>
      <c r="F1023" s="18"/>
      <c r="G1023" s="18"/>
      <c r="H1023" s="58"/>
      <c r="I1023" s="21"/>
      <c r="J1023" s="22"/>
    </row>
    <row r="1024" spans="1:10" ht="13.2" x14ac:dyDescent="0.25">
      <c r="A1024" s="17"/>
      <c r="B1024" s="17"/>
      <c r="D1024" s="18"/>
      <c r="E1024" s="18"/>
      <c r="F1024" s="18"/>
      <c r="G1024" s="18"/>
      <c r="H1024" s="58"/>
      <c r="I1024" s="21"/>
      <c r="J1024" s="22"/>
    </row>
  </sheetData>
  <mergeCells count="25">
    <mergeCell ref="B180:G180"/>
    <mergeCell ref="B188:G188"/>
    <mergeCell ref="B196:G196"/>
    <mergeCell ref="B116:G116"/>
    <mergeCell ref="B124:G124"/>
    <mergeCell ref="B132:G132"/>
    <mergeCell ref="B140:G140"/>
    <mergeCell ref="B148:H148"/>
    <mergeCell ref="B156:G156"/>
    <mergeCell ref="B164:G164"/>
    <mergeCell ref="B84:G84"/>
    <mergeCell ref="B92:G92"/>
    <mergeCell ref="B100:G100"/>
    <mergeCell ref="B108:G108"/>
    <mergeCell ref="B172:G172"/>
    <mergeCell ref="B44:G44"/>
    <mergeCell ref="B52:G52"/>
    <mergeCell ref="B60:G60"/>
    <mergeCell ref="B68:G68"/>
    <mergeCell ref="B76:G76"/>
    <mergeCell ref="B4:G4"/>
    <mergeCell ref="B12:G12"/>
    <mergeCell ref="B20:G20"/>
    <mergeCell ref="B28:G28"/>
    <mergeCell ref="B36:G36"/>
  </mergeCells>
  <conditionalFormatting sqref="L13">
    <cfRule type="notContainsBlanks" dxfId="4" priority="1">
      <formula>LEN(TRIM(L13))&gt;0</formula>
    </cfRule>
  </conditionalFormatting>
  <dataValidations count="2">
    <dataValidation type="custom" allowBlank="1" showDropDown="1" showInputMessage="1" showErrorMessage="1" prompt="Ebbe a cellába csak 2011 és 2014 közötti értéket kell megadni!" sqref="D5:D9 D13:D17 D21:D25 D29:D33 D37:D41 D45:D49 D53:D57 D61:D65 D69:D73 D77:D81 D85:D89 D93:D97 D101:D105 D109:D113 D117:D121 D125:D129 D133:D137 D141:D145 D149:D153 D157:D161 D165:D169 D173:D177 D181:D185 D189:D193 D197:D201" xr:uid="{00000000-0002-0000-0300-000000000000}">
      <formula1>OR(D5 = "2011", D5="2012",  D5="2013", D5="2014")</formula1>
    </dataValidation>
    <dataValidation type="custom" allowBlank="1" showDropDown="1" showInputMessage="1" showErrorMessage="1" prompt="Csak szám, (12,33), x. és - jel használható!" sqref="E5:G9 E13:G17 E21:G25 E29:G33 E37:G41 E45:G49 E53:G57 E61:G65 E69:G73 E77:G81 E85:G89 E93:G97 E109:G113 E117:G121 E125:G129 E133:G137 E141:G145 E149:G153 E157:G161 E165:G169 E173:G177 E181:G185 E189:G193 E197:G201" xr:uid="{00000000-0002-0000-0300-000001000000}">
      <formula1>REGEXMATCH(E5,"^\d{1,2},\d{2}$|^x$|^X$|^-$")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D966"/>
    <outlinePr summaryBelow="0" summaryRight="0"/>
  </sheetPr>
  <dimension ref="A1:AK1024"/>
  <sheetViews>
    <sheetView workbookViewId="0">
      <pane ySplit="3" topLeftCell="A25" activePane="bottomLeft" state="frozen"/>
      <selection pane="bottomLeft" activeCell="B5" sqref="B5"/>
    </sheetView>
  </sheetViews>
  <sheetFormatPr defaultColWidth="12.6640625" defaultRowHeight="15.75" customHeight="1" x14ac:dyDescent="0.25"/>
  <cols>
    <col min="1" max="1" width="4.21875" customWidth="1"/>
    <col min="2" max="2" width="3.21875" customWidth="1"/>
    <col min="3" max="3" width="22.44140625" customWidth="1"/>
    <col min="4" max="4" width="6.44140625" customWidth="1"/>
    <col min="5" max="16" width="4.109375" customWidth="1"/>
    <col min="17" max="17" width="6.88671875" customWidth="1"/>
    <col min="18" max="18" width="5.88671875" customWidth="1"/>
    <col min="20" max="20" width="8.21875" customWidth="1"/>
  </cols>
  <sheetData>
    <row r="1" spans="1:37" ht="25.8" x14ac:dyDescent="0.8">
      <c r="A1" s="65" t="s">
        <v>475</v>
      </c>
      <c r="B1" s="66"/>
      <c r="C1" s="67"/>
      <c r="D1" s="68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"/>
      <c r="R1" s="71"/>
      <c r="S1" s="72"/>
      <c r="T1" s="73"/>
    </row>
    <row r="2" spans="1:37" ht="16.2" x14ac:dyDescent="0.5">
      <c r="A2" s="10" t="s">
        <v>1</v>
      </c>
      <c r="B2" s="10" t="s">
        <v>2</v>
      </c>
      <c r="C2" s="11"/>
      <c r="D2" s="12" t="s">
        <v>3</v>
      </c>
      <c r="E2" s="12" t="e">
        <f>#REF!</f>
        <v>#REF!</v>
      </c>
      <c r="F2" s="12" t="e">
        <f>#REF!</f>
        <v>#REF!</v>
      </c>
      <c r="G2" s="12" t="e">
        <f>#REF!</f>
        <v>#REF!</v>
      </c>
      <c r="H2" s="12" t="e">
        <f>#REF!</f>
        <v>#REF!</v>
      </c>
      <c r="I2" s="12" t="e">
        <f>#REF!</f>
        <v>#REF!</v>
      </c>
      <c r="J2" s="12" t="e">
        <f>#REF!</f>
        <v>#REF!</v>
      </c>
      <c r="K2" s="12" t="e">
        <f>#REF!</f>
        <v>#REF!</v>
      </c>
      <c r="L2" s="12" t="e">
        <f>#REF!</f>
        <v>#REF!</v>
      </c>
      <c r="M2" s="12" t="e">
        <f>#REF!</f>
        <v>#REF!</v>
      </c>
      <c r="N2" s="12" t="e">
        <f>#REF!</f>
        <v>#REF!</v>
      </c>
      <c r="O2" s="12" t="e">
        <f>#REF!</f>
        <v>#REF!</v>
      </c>
      <c r="P2" s="12" t="e">
        <f>#REF!</f>
        <v>#REF!</v>
      </c>
      <c r="Q2" s="13" t="s">
        <v>476</v>
      </c>
      <c r="R2" s="74" t="s">
        <v>5</v>
      </c>
      <c r="S2" s="14" t="s">
        <v>6</v>
      </c>
      <c r="T2" s="15" t="s">
        <v>7</v>
      </c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13.2" x14ac:dyDescent="0.25">
      <c r="A3" s="17"/>
      <c r="B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  <c r="R3" s="20"/>
      <c r="S3" s="21"/>
      <c r="T3" s="22"/>
    </row>
    <row r="4" spans="1:37" ht="15.6" x14ac:dyDescent="0.25">
      <c r="A4" s="23">
        <v>1</v>
      </c>
      <c r="B4" s="97" t="s">
        <v>20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9"/>
      <c r="R4" s="24"/>
      <c r="S4" s="25">
        <f ca="1">IF(COUNTIFS(R5:R9,"&gt;0") &gt; 3, FLOOR((SUM(R5:R9)-MIN(R5,R6,R7,R8,R9))/4,0.0001), )</f>
        <v>1.3375000000000001</v>
      </c>
      <c r="T4" s="26">
        <f ca="1">IF(S4=0,"",RANK(S4,$S$4:$S$224,))</f>
        <v>1</v>
      </c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</row>
    <row r="5" spans="1:37" ht="18.75" customHeight="1" x14ac:dyDescent="0.25">
      <c r="A5" s="17"/>
      <c r="B5" s="28">
        <v>1</v>
      </c>
      <c r="C5" s="29" t="s">
        <v>477</v>
      </c>
      <c r="D5" s="30" t="s">
        <v>15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2" t="s">
        <v>13</v>
      </c>
      <c r="R5" s="33">
        <f ca="1">IFERROR(__xludf.DUMMYFUNCTION("IF(REGEXMATCH(Q5,""^\d,\d\d$""),VALUE(Q5),0)"),1.5)</f>
        <v>1.5</v>
      </c>
      <c r="S5" s="21"/>
      <c r="T5" s="22"/>
    </row>
    <row r="6" spans="1:37" ht="18.75" customHeight="1" x14ac:dyDescent="0.25">
      <c r="A6" s="17"/>
      <c r="B6" s="28">
        <v>2</v>
      </c>
      <c r="C6" s="29" t="s">
        <v>478</v>
      </c>
      <c r="D6" s="30" t="s">
        <v>15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2" t="s">
        <v>44</v>
      </c>
      <c r="R6" s="33">
        <f ca="1">IFERROR(__xludf.DUMMYFUNCTION("IF(REGEXMATCH(Q6,""^\d,\d\d$""),VALUE(Q6),0)"),1.25)</f>
        <v>1.25</v>
      </c>
      <c r="S6" s="21"/>
      <c r="T6" s="22"/>
    </row>
    <row r="7" spans="1:37" ht="18.75" customHeight="1" x14ac:dyDescent="0.25">
      <c r="A7" s="17"/>
      <c r="B7" s="28">
        <v>3</v>
      </c>
      <c r="C7" s="29" t="s">
        <v>479</v>
      </c>
      <c r="D7" s="30" t="s">
        <v>10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2" t="s">
        <v>34</v>
      </c>
      <c r="R7" s="33">
        <f ca="1">IFERROR(__xludf.DUMMYFUNCTION("IF(REGEXMATCH(Q7,""^\d,\d\d$""),VALUE(Q7),0)"),1.3)</f>
        <v>1.3</v>
      </c>
      <c r="S7" s="21"/>
      <c r="T7" s="22"/>
    </row>
    <row r="8" spans="1:37" ht="18.75" customHeight="1" x14ac:dyDescent="0.25">
      <c r="A8" s="17"/>
      <c r="B8" s="28">
        <v>4</v>
      </c>
      <c r="C8" s="29" t="s">
        <v>480</v>
      </c>
      <c r="D8" s="30" t="s">
        <v>10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2" t="s">
        <v>34</v>
      </c>
      <c r="R8" s="33">
        <f ca="1">IFERROR(__xludf.DUMMYFUNCTION("IF(REGEXMATCH(Q8,""^\d,\d\d$""),VALUE(Q8),0)"),1.3)</f>
        <v>1.3</v>
      </c>
      <c r="S8" s="21"/>
      <c r="T8" s="22"/>
    </row>
    <row r="9" spans="1:37" ht="18.75" customHeight="1" x14ac:dyDescent="0.25">
      <c r="A9" s="17"/>
      <c r="B9" s="28">
        <v>5</v>
      </c>
      <c r="C9" s="29" t="s">
        <v>481</v>
      </c>
      <c r="D9" s="30" t="s">
        <v>10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2" t="s">
        <v>50</v>
      </c>
      <c r="R9" s="33">
        <f ca="1">IFERROR(__xludf.DUMMYFUNCTION("IF(REGEXMATCH(Q9,""^\d,\d\d$""),VALUE(Q9),0)"),1.2)</f>
        <v>1.2</v>
      </c>
      <c r="S9" s="21"/>
      <c r="T9" s="22"/>
    </row>
    <row r="10" spans="1:37" ht="13.2" x14ac:dyDescent="0.25">
      <c r="A10" s="17"/>
      <c r="B10" s="35" t="s">
        <v>18</v>
      </c>
      <c r="C10" s="36"/>
      <c r="D10" s="37" t="s">
        <v>28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9"/>
      <c r="R10" s="40"/>
      <c r="S10" s="21"/>
      <c r="T10" s="22"/>
    </row>
    <row r="11" spans="1:37" ht="13.2" x14ac:dyDescent="0.25">
      <c r="A11" s="17"/>
      <c r="B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9"/>
      <c r="R11" s="20"/>
      <c r="S11" s="21"/>
      <c r="T11" s="22"/>
    </row>
    <row r="12" spans="1:37" ht="15.6" x14ac:dyDescent="0.25">
      <c r="A12" s="23">
        <v>2</v>
      </c>
      <c r="B12" s="97" t="s">
        <v>8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  <c r="R12" s="24"/>
      <c r="S12" s="25">
        <f ca="1">IF(COUNTIFS(R13:R17,"&gt;0") &gt; 3, FLOOR((SUM(R13:R17)-MIN(R13,R14,R15,R16,R17))/4,0.0001), )</f>
        <v>1.3</v>
      </c>
      <c r="T12" s="26">
        <f ca="1">IF(S12=0,"",RANK(S12,$S$4:$S$224,))</f>
        <v>2</v>
      </c>
    </row>
    <row r="13" spans="1:37" ht="18.75" customHeight="1" x14ac:dyDescent="0.25">
      <c r="A13" s="17"/>
      <c r="B13" s="28">
        <v>1</v>
      </c>
      <c r="C13" s="29" t="s">
        <v>482</v>
      </c>
      <c r="D13" s="30" t="s">
        <v>10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2" t="s">
        <v>483</v>
      </c>
      <c r="R13" s="33">
        <f ca="1">IFERROR(__xludf.DUMMYFUNCTION("IF(REGEXMATCH(Q13,""^\d,\d\d$""),VALUE(Q13),0)"),1.45)</f>
        <v>1.45</v>
      </c>
      <c r="S13" s="21"/>
      <c r="T13" s="22"/>
    </row>
    <row r="14" spans="1:37" ht="18.75" customHeight="1" x14ac:dyDescent="0.25">
      <c r="A14" s="17"/>
      <c r="B14" s="28">
        <v>2</v>
      </c>
      <c r="C14" s="29" t="s">
        <v>484</v>
      </c>
      <c r="D14" s="30" t="s">
        <v>10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 t="s">
        <v>50</v>
      </c>
      <c r="R14" s="33">
        <f ca="1">IFERROR(__xludf.DUMMYFUNCTION("IF(REGEXMATCH(Q14,""^\d,\d\d$""),VALUE(Q14),0)"),1.2)</f>
        <v>1.2</v>
      </c>
      <c r="S14" s="21"/>
      <c r="T14" s="22"/>
    </row>
    <row r="15" spans="1:37" ht="18.75" customHeight="1" x14ac:dyDescent="0.25">
      <c r="A15" s="17"/>
      <c r="B15" s="28">
        <v>3</v>
      </c>
      <c r="C15" s="29" t="s">
        <v>485</v>
      </c>
      <c r="D15" s="30" t="s">
        <v>10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2" t="s">
        <v>34</v>
      </c>
      <c r="R15" s="33">
        <f ca="1">IFERROR(__xludf.DUMMYFUNCTION("IF(REGEXMATCH(Q15,""^\d,\d\d$""),VALUE(Q15),0)"),1.3)</f>
        <v>1.3</v>
      </c>
      <c r="S15" s="21"/>
      <c r="T15" s="22"/>
    </row>
    <row r="16" spans="1:37" ht="18.75" customHeight="1" x14ac:dyDescent="0.25">
      <c r="A16" s="17"/>
      <c r="B16" s="28">
        <v>4</v>
      </c>
      <c r="C16" s="29" t="s">
        <v>486</v>
      </c>
      <c r="D16" s="30" t="s">
        <v>10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2" t="s">
        <v>44</v>
      </c>
      <c r="R16" s="33">
        <f ca="1">IFERROR(__xludf.DUMMYFUNCTION("IF(REGEXMATCH(Q16,""^\d,\d\d$""),VALUE(Q16),0)"),1.25)</f>
        <v>1.25</v>
      </c>
      <c r="S16" s="21"/>
      <c r="T16" s="22"/>
    </row>
    <row r="17" spans="1:20" ht="18.75" customHeight="1" x14ac:dyDescent="0.25">
      <c r="A17" s="17"/>
      <c r="B17" s="28">
        <v>5</v>
      </c>
      <c r="C17" s="29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2"/>
      <c r="R17" s="33">
        <f ca="1">IFERROR(__xludf.DUMMYFUNCTION("IF(REGEXMATCH(Q17,""^\d,\d\d$""),VALUE(Q17),0)"),0)</f>
        <v>0</v>
      </c>
      <c r="S17" s="21"/>
      <c r="T17" s="22"/>
    </row>
    <row r="18" spans="1:20" ht="13.2" x14ac:dyDescent="0.25">
      <c r="A18" s="17"/>
      <c r="B18" s="35" t="s">
        <v>18</v>
      </c>
      <c r="C18" s="36"/>
      <c r="D18" s="44" t="s">
        <v>19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9"/>
      <c r="R18" s="40"/>
      <c r="S18" s="21"/>
      <c r="T18" s="22"/>
    </row>
    <row r="19" spans="1:20" ht="13.2" x14ac:dyDescent="0.25">
      <c r="A19" s="17"/>
      <c r="B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9"/>
      <c r="R19" s="20"/>
      <c r="S19" s="21"/>
      <c r="T19" s="22"/>
    </row>
    <row r="20" spans="1:20" ht="15.6" x14ac:dyDescent="0.25">
      <c r="A20" s="23">
        <v>3</v>
      </c>
      <c r="B20" s="97" t="s">
        <v>54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9"/>
      <c r="R20" s="24"/>
      <c r="S20" s="25">
        <f ca="1">IF(COUNTIFS(R21:R25,"&gt;0") &gt; 3, FLOOR((SUM(R21:R25)-MIN(R21,R22,R23,R24,R25))/4,0.0001), )</f>
        <v>1.2125000000000001</v>
      </c>
      <c r="T20" s="26">
        <f ca="1">IF(S20=0,"",RANK(S20,$S$4:$S$224,))</f>
        <v>3</v>
      </c>
    </row>
    <row r="21" spans="1:20" ht="13.2" x14ac:dyDescent="0.25">
      <c r="A21" s="17"/>
      <c r="B21" s="28">
        <v>1</v>
      </c>
      <c r="C21" s="29" t="s">
        <v>487</v>
      </c>
      <c r="D21" s="30" t="s">
        <v>15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 t="s">
        <v>50</v>
      </c>
      <c r="R21" s="33">
        <f ca="1">IFERROR(__xludf.DUMMYFUNCTION("IF(REGEXMATCH(Q21,""^\d,\d\d$""),VALUE(Q21),0)"),1.2)</f>
        <v>1.2</v>
      </c>
      <c r="S21" s="21"/>
      <c r="T21" s="22"/>
    </row>
    <row r="22" spans="1:20" ht="13.2" x14ac:dyDescent="0.25">
      <c r="A22" s="17"/>
      <c r="B22" s="28">
        <v>2</v>
      </c>
      <c r="C22" s="29" t="s">
        <v>488</v>
      </c>
      <c r="D22" s="30" t="s">
        <v>10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2" t="s">
        <v>50</v>
      </c>
      <c r="R22" s="33">
        <f ca="1">IFERROR(__xludf.DUMMYFUNCTION("IF(REGEXMATCH(Q22,""^\d,\d\d$""),VALUE(Q22),0)"),1.2)</f>
        <v>1.2</v>
      </c>
      <c r="S22" s="21"/>
      <c r="T22" s="22"/>
    </row>
    <row r="23" spans="1:20" ht="13.2" x14ac:dyDescent="0.25">
      <c r="A23" s="17"/>
      <c r="B23" s="28">
        <v>3</v>
      </c>
      <c r="C23" s="29" t="s">
        <v>489</v>
      </c>
      <c r="D23" s="30" t="s">
        <v>10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2" t="s">
        <v>490</v>
      </c>
      <c r="R23" s="33">
        <f ca="1">IFERROR(__xludf.DUMMYFUNCTION("IF(REGEXMATCH(Q23,""^\d,\d\d$""),VALUE(Q23),0)"),1.15)</f>
        <v>1.1499999999999999</v>
      </c>
      <c r="S23" s="21"/>
      <c r="T23" s="22"/>
    </row>
    <row r="24" spans="1:20" ht="13.2" x14ac:dyDescent="0.25">
      <c r="A24" s="17"/>
      <c r="B24" s="28">
        <v>4</v>
      </c>
      <c r="C24" s="29" t="s">
        <v>491</v>
      </c>
      <c r="D24" s="30" t="s">
        <v>41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2" t="s">
        <v>44</v>
      </c>
      <c r="R24" s="33">
        <f ca="1">IFERROR(__xludf.DUMMYFUNCTION("IF(REGEXMATCH(Q24,""^\d,\d\d$""),VALUE(Q24),0)"),1.25)</f>
        <v>1.25</v>
      </c>
      <c r="S24" s="21"/>
      <c r="T24" s="22"/>
    </row>
    <row r="25" spans="1:20" ht="13.2" x14ac:dyDescent="0.25">
      <c r="A25" s="17"/>
      <c r="B25" s="28">
        <v>5</v>
      </c>
      <c r="C25" s="29" t="s">
        <v>492</v>
      </c>
      <c r="D25" s="30" t="s">
        <v>15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 t="s">
        <v>50</v>
      </c>
      <c r="R25" s="33">
        <f ca="1">IFERROR(__xludf.DUMMYFUNCTION("IF(REGEXMATCH(Q25,""^\d,\d\d$""),VALUE(Q25),0)"),1.2)</f>
        <v>1.2</v>
      </c>
      <c r="S25" s="21"/>
      <c r="T25" s="22"/>
    </row>
    <row r="26" spans="1:20" ht="13.2" x14ac:dyDescent="0.25">
      <c r="A26" s="17"/>
      <c r="B26" s="35" t="s">
        <v>18</v>
      </c>
      <c r="C26" s="36"/>
      <c r="D26" s="44" t="s">
        <v>61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9"/>
      <c r="R26" s="40"/>
      <c r="S26" s="21"/>
      <c r="T26" s="22"/>
    </row>
    <row r="27" spans="1:20" ht="13.2" x14ac:dyDescent="0.25">
      <c r="A27" s="17"/>
      <c r="B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9"/>
      <c r="R27" s="20"/>
      <c r="S27" s="21"/>
      <c r="T27" s="22"/>
    </row>
    <row r="28" spans="1:20" ht="15.6" x14ac:dyDescent="0.25">
      <c r="A28" s="23">
        <v>4</v>
      </c>
      <c r="B28" s="97" t="s">
        <v>37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9"/>
      <c r="R28" s="24"/>
      <c r="S28" s="25">
        <f ca="1">IF(COUNTIFS(R29:R33,"&gt;0") &gt; 3, FLOOR((SUM(R29:R33)-MIN(R29,R30,R31,R32,R33))/4,0.0001), )</f>
        <v>1.2125000000000001</v>
      </c>
      <c r="T28" s="26">
        <f ca="1">IF(S28=0,"",RANK(S28,$S$4:$S$224,))</f>
        <v>3</v>
      </c>
    </row>
    <row r="29" spans="1:20" ht="13.2" x14ac:dyDescent="0.25">
      <c r="A29" s="17"/>
      <c r="B29" s="28">
        <v>1</v>
      </c>
      <c r="C29" s="29" t="s">
        <v>493</v>
      </c>
      <c r="D29" s="30" t="s">
        <v>15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 t="s">
        <v>490</v>
      </c>
      <c r="R29" s="33">
        <f ca="1">IFERROR(__xludf.DUMMYFUNCTION("IF(REGEXMATCH(Q29,""^\d,\d\d$""),VALUE(Q29),0)"),1.15)</f>
        <v>1.1499999999999999</v>
      </c>
      <c r="S29" s="21"/>
      <c r="T29" s="22"/>
    </row>
    <row r="30" spans="1:20" ht="13.2" x14ac:dyDescent="0.25">
      <c r="A30" s="17"/>
      <c r="B30" s="28">
        <v>2</v>
      </c>
      <c r="C30" s="29" t="s">
        <v>494</v>
      </c>
      <c r="D30" s="30" t="s">
        <v>10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2" t="s">
        <v>44</v>
      </c>
      <c r="R30" s="33">
        <f ca="1">IFERROR(__xludf.DUMMYFUNCTION("IF(REGEXMATCH(Q30,""^\d,\d\d$""),VALUE(Q30),0)"),1.25)</f>
        <v>1.25</v>
      </c>
      <c r="S30" s="21"/>
      <c r="T30" s="22"/>
    </row>
    <row r="31" spans="1:20" ht="13.2" x14ac:dyDescent="0.25">
      <c r="A31" s="17"/>
      <c r="B31" s="28">
        <v>3</v>
      </c>
      <c r="C31" s="29" t="s">
        <v>495</v>
      </c>
      <c r="D31" s="30" t="s">
        <v>15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2" t="s">
        <v>490</v>
      </c>
      <c r="R31" s="33">
        <f ca="1">IFERROR(__xludf.DUMMYFUNCTION("IF(REGEXMATCH(Q31,""^\d,\d\d$""),VALUE(Q31),0)"),1.15)</f>
        <v>1.1499999999999999</v>
      </c>
      <c r="S31" s="21"/>
      <c r="T31" s="22"/>
    </row>
    <row r="32" spans="1:20" ht="13.2" x14ac:dyDescent="0.25">
      <c r="A32" s="17"/>
      <c r="B32" s="28">
        <v>4</v>
      </c>
      <c r="C32" s="29" t="s">
        <v>496</v>
      </c>
      <c r="D32" s="30" t="s">
        <v>10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 t="s">
        <v>50</v>
      </c>
      <c r="R32" s="33">
        <f ca="1">IFERROR(__xludf.DUMMYFUNCTION("IF(REGEXMATCH(Q32,""^\d,\d\d$""),VALUE(Q32),0)"),1.2)</f>
        <v>1.2</v>
      </c>
      <c r="S32" s="21"/>
      <c r="T32" s="22"/>
    </row>
    <row r="33" spans="1:20" ht="13.2" x14ac:dyDescent="0.25">
      <c r="A33" s="17"/>
      <c r="B33" s="28">
        <v>5</v>
      </c>
      <c r="C33" s="29" t="s">
        <v>497</v>
      </c>
      <c r="D33" s="30" t="s">
        <v>10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2" t="s">
        <v>44</v>
      </c>
      <c r="R33" s="33">
        <f ca="1">IFERROR(__xludf.DUMMYFUNCTION("IF(REGEXMATCH(Q33,""^\d,\d\d$""),VALUE(Q33),0)"),1.25)</f>
        <v>1.25</v>
      </c>
      <c r="S33" s="21"/>
      <c r="T33" s="22"/>
    </row>
    <row r="34" spans="1:20" ht="13.2" x14ac:dyDescent="0.25">
      <c r="A34" s="17"/>
      <c r="B34" s="35" t="s">
        <v>18</v>
      </c>
      <c r="C34" s="36"/>
      <c r="D34" s="44" t="s">
        <v>45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9"/>
      <c r="R34" s="40"/>
      <c r="S34" s="21"/>
      <c r="T34" s="22"/>
    </row>
    <row r="35" spans="1:20" ht="13.2" x14ac:dyDescent="0.25">
      <c r="A35" s="17"/>
      <c r="B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/>
      <c r="R35" s="20"/>
      <c r="S35" s="21"/>
      <c r="T35" s="22"/>
    </row>
    <row r="36" spans="1:20" ht="15.6" x14ac:dyDescent="0.25">
      <c r="A36" s="23">
        <v>5</v>
      </c>
      <c r="B36" s="97" t="s">
        <v>450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9"/>
      <c r="R36" s="24"/>
      <c r="S36" s="25">
        <f ca="1">IF(COUNTIFS(R37:R41,"&gt;0") &gt; 3, FLOOR((SUM(R37:R41)-MIN(R37,R38,R39,R40,R41))/4,0.0001), )</f>
        <v>1.2</v>
      </c>
      <c r="T36" s="26">
        <f ca="1">IF(S36=0,"",RANK(S36,$S$4:$S$224,))</f>
        <v>5</v>
      </c>
    </row>
    <row r="37" spans="1:20" ht="13.2" x14ac:dyDescent="0.25">
      <c r="A37" s="17"/>
      <c r="B37" s="28">
        <v>1</v>
      </c>
      <c r="C37" s="29" t="s">
        <v>498</v>
      </c>
      <c r="D37" s="30" t="s">
        <v>15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2" t="s">
        <v>50</v>
      </c>
      <c r="R37" s="33">
        <f ca="1">IFERROR(__xludf.DUMMYFUNCTION("IF(REGEXMATCH(Q37,""^\d,\d\d$""),VALUE(Q37),0)"),1.2)</f>
        <v>1.2</v>
      </c>
      <c r="S37" s="21"/>
      <c r="T37" s="22"/>
    </row>
    <row r="38" spans="1:20" ht="13.2" x14ac:dyDescent="0.25">
      <c r="A38" s="17"/>
      <c r="B38" s="28">
        <v>2</v>
      </c>
      <c r="C38" s="29" t="s">
        <v>499</v>
      </c>
      <c r="D38" s="30" t="s">
        <v>15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2" t="s">
        <v>44</v>
      </c>
      <c r="R38" s="33">
        <f ca="1">IFERROR(__xludf.DUMMYFUNCTION("IF(REGEXMATCH(Q38,""^\d,\d\d$""),VALUE(Q38),0)"),1.25)</f>
        <v>1.25</v>
      </c>
      <c r="S38" s="21"/>
      <c r="T38" s="22"/>
    </row>
    <row r="39" spans="1:20" ht="13.2" x14ac:dyDescent="0.25">
      <c r="A39" s="17"/>
      <c r="B39" s="28">
        <v>3</v>
      </c>
      <c r="C39" s="29" t="s">
        <v>500</v>
      </c>
      <c r="D39" s="30" t="s">
        <v>41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 t="s">
        <v>490</v>
      </c>
      <c r="R39" s="33">
        <f ca="1">IFERROR(__xludf.DUMMYFUNCTION("IF(REGEXMATCH(Q39,""^\d,\d\d$""),VALUE(Q39),0)"),1.15)</f>
        <v>1.1499999999999999</v>
      </c>
      <c r="S39" s="21"/>
      <c r="T39" s="22"/>
    </row>
    <row r="40" spans="1:20" ht="13.2" x14ac:dyDescent="0.25">
      <c r="A40" s="17"/>
      <c r="B40" s="28">
        <v>4</v>
      </c>
      <c r="C40" s="29" t="s">
        <v>501</v>
      </c>
      <c r="D40" s="30" t="s">
        <v>15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2" t="s">
        <v>50</v>
      </c>
      <c r="R40" s="33">
        <f ca="1">IFERROR(__xludf.DUMMYFUNCTION("IF(REGEXMATCH(Q40,""^\d,\d\d$""),VALUE(Q40),0)"),1.2)</f>
        <v>1.2</v>
      </c>
      <c r="S40" s="21"/>
      <c r="T40" s="22"/>
    </row>
    <row r="41" spans="1:20" ht="13.2" x14ac:dyDescent="0.25">
      <c r="A41" s="17"/>
      <c r="B41" s="28">
        <v>5</v>
      </c>
      <c r="C41" s="29" t="s">
        <v>502</v>
      </c>
      <c r="D41" s="30" t="s">
        <v>41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2" t="s">
        <v>490</v>
      </c>
      <c r="R41" s="33">
        <f ca="1">IFERROR(__xludf.DUMMYFUNCTION("IF(REGEXMATCH(Q41,""^\d,\d\d$""),VALUE(Q41),0)"),1.15)</f>
        <v>1.1499999999999999</v>
      </c>
      <c r="S41" s="21"/>
      <c r="T41" s="22"/>
    </row>
    <row r="42" spans="1:20" ht="13.2" x14ac:dyDescent="0.25">
      <c r="A42" s="17"/>
      <c r="B42" s="35" t="s">
        <v>18</v>
      </c>
      <c r="C42" s="36"/>
      <c r="D42" s="44" t="s">
        <v>462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9"/>
      <c r="R42" s="40"/>
      <c r="S42" s="21"/>
      <c r="T42" s="22"/>
    </row>
    <row r="43" spans="1:20" ht="13.2" x14ac:dyDescent="0.25">
      <c r="A43" s="17"/>
      <c r="B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21"/>
      <c r="T43" s="22"/>
    </row>
    <row r="44" spans="1:20" ht="15.6" x14ac:dyDescent="0.25">
      <c r="A44" s="23">
        <v>6</v>
      </c>
      <c r="B44" s="97" t="s">
        <v>46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9"/>
      <c r="R44" s="24"/>
      <c r="S44" s="25">
        <f ca="1">IF(COUNTIFS(R45:R49,"&gt;0") &gt; 3, FLOOR((SUM(R45:R49)-MIN(R45,R46,R47,R48,R49))/4,0.0001), )</f>
        <v>1.1500000000000001</v>
      </c>
      <c r="T44" s="26">
        <f ca="1">IF(S44=0,"",RANK(S44,$S$4:$S$224,))</f>
        <v>6</v>
      </c>
    </row>
    <row r="45" spans="1:20" ht="13.2" x14ac:dyDescent="0.25">
      <c r="A45" s="17"/>
      <c r="B45" s="28">
        <v>1</v>
      </c>
      <c r="C45" s="29" t="s">
        <v>503</v>
      </c>
      <c r="D45" s="30" t="s">
        <v>15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2" t="s">
        <v>50</v>
      </c>
      <c r="R45" s="33">
        <f ca="1">IFERROR(__xludf.DUMMYFUNCTION("IF(REGEXMATCH(Q45,""^\d,\d\d$""),VALUE(Q45),0)"),1.2)</f>
        <v>1.2</v>
      </c>
      <c r="S45" s="21"/>
      <c r="T45" s="22"/>
    </row>
    <row r="46" spans="1:20" ht="13.2" x14ac:dyDescent="0.25">
      <c r="A46" s="17"/>
      <c r="B46" s="28">
        <v>2</v>
      </c>
      <c r="C46" s="29" t="s">
        <v>504</v>
      </c>
      <c r="D46" s="30" t="s">
        <v>15</v>
      </c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2" t="s">
        <v>505</v>
      </c>
      <c r="R46" s="33">
        <f ca="1">IFERROR(__xludf.DUMMYFUNCTION("IF(REGEXMATCH(Q46,""^\d,\d\d$""),VALUE(Q46),0)"),1.1)</f>
        <v>1.1000000000000001</v>
      </c>
      <c r="S46" s="21"/>
      <c r="T46" s="22"/>
    </row>
    <row r="47" spans="1:20" ht="13.2" x14ac:dyDescent="0.25">
      <c r="A47" s="17"/>
      <c r="B47" s="28">
        <v>3</v>
      </c>
      <c r="C47" s="29" t="s">
        <v>506</v>
      </c>
      <c r="D47" s="30" t="s">
        <v>10</v>
      </c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2" t="s">
        <v>490</v>
      </c>
      <c r="R47" s="33">
        <f ca="1">IFERROR(__xludf.DUMMYFUNCTION("IF(REGEXMATCH(Q47,""^\d,\d\d$""),VALUE(Q47),0)"),1.15)</f>
        <v>1.1499999999999999</v>
      </c>
      <c r="S47" s="21"/>
      <c r="T47" s="22"/>
    </row>
    <row r="48" spans="1:20" ht="13.2" x14ac:dyDescent="0.25">
      <c r="A48" s="17"/>
      <c r="B48" s="28">
        <v>4</v>
      </c>
      <c r="C48" s="29" t="s">
        <v>507</v>
      </c>
      <c r="D48" s="30" t="s">
        <v>41</v>
      </c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2" t="s">
        <v>490</v>
      </c>
      <c r="R48" s="33">
        <f ca="1">IFERROR(__xludf.DUMMYFUNCTION("IF(REGEXMATCH(Q48,""^\d,\d\d$""),VALUE(Q48),0)"),1.15)</f>
        <v>1.1499999999999999</v>
      </c>
      <c r="S48" s="21"/>
      <c r="T48" s="22"/>
    </row>
    <row r="49" spans="1:20" ht="13.2" x14ac:dyDescent="0.25">
      <c r="A49" s="17"/>
      <c r="B49" s="28">
        <v>5</v>
      </c>
      <c r="C49" s="29"/>
      <c r="D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2"/>
      <c r="R49" s="33">
        <f ca="1">IFERROR(__xludf.DUMMYFUNCTION("IF(REGEXMATCH(Q49,""^\d,\d\d$""),VALUE(Q49),0)"),0)</f>
        <v>0</v>
      </c>
      <c r="S49" s="21"/>
      <c r="T49" s="22"/>
    </row>
    <row r="50" spans="1:20" ht="13.2" x14ac:dyDescent="0.25">
      <c r="A50" s="17"/>
      <c r="B50" s="35" t="s">
        <v>18</v>
      </c>
      <c r="C50" s="36"/>
      <c r="D50" s="44" t="s">
        <v>53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9"/>
      <c r="R50" s="40"/>
      <c r="S50" s="21"/>
      <c r="T50" s="22"/>
    </row>
    <row r="51" spans="1:20" ht="13.2" x14ac:dyDescent="0.25">
      <c r="A51" s="17"/>
      <c r="B51" s="17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9"/>
      <c r="R51" s="20"/>
      <c r="S51" s="21"/>
      <c r="T51" s="22"/>
    </row>
    <row r="52" spans="1:20" ht="15.6" x14ac:dyDescent="0.25">
      <c r="A52" s="23">
        <v>7</v>
      </c>
      <c r="B52" s="97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9"/>
      <c r="R52" s="24"/>
      <c r="S52" s="25">
        <f ca="1">IF(COUNTIFS(R53:R57,"&gt;0") &gt; 3, FLOOR((SUM(R53:R57)-MIN(R53,R54,R55,R56,R57))/4,0.0001), )</f>
        <v>0</v>
      </c>
      <c r="T52" s="26" t="str">
        <f ca="1">IF(S52=0,"",RANK(S52,$S$4:$S$224,))</f>
        <v/>
      </c>
    </row>
    <row r="53" spans="1:20" ht="13.2" x14ac:dyDescent="0.25">
      <c r="A53" s="17"/>
      <c r="B53" s="28">
        <v>1</v>
      </c>
      <c r="C53" s="29"/>
      <c r="D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2"/>
      <c r="R53" s="33">
        <f ca="1">IFERROR(__xludf.DUMMYFUNCTION("IF(REGEXMATCH(Q53,""^\d,\d\d$""),VALUE(Q53),0)"),0)</f>
        <v>0</v>
      </c>
      <c r="S53" s="21"/>
      <c r="T53" s="22"/>
    </row>
    <row r="54" spans="1:20" ht="13.2" x14ac:dyDescent="0.25">
      <c r="A54" s="17"/>
      <c r="B54" s="28">
        <v>2</v>
      </c>
      <c r="C54" s="29"/>
      <c r="D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2"/>
      <c r="R54" s="33">
        <f ca="1">IFERROR(__xludf.DUMMYFUNCTION("IF(REGEXMATCH(Q54,""^\d,\d\d$""),VALUE(Q54),0)"),0)</f>
        <v>0</v>
      </c>
      <c r="S54" s="21"/>
      <c r="T54" s="22"/>
    </row>
    <row r="55" spans="1:20" ht="13.2" x14ac:dyDescent="0.25">
      <c r="A55" s="17"/>
      <c r="B55" s="28">
        <v>3</v>
      </c>
      <c r="C55" s="29"/>
      <c r="D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2"/>
      <c r="R55" s="33">
        <f ca="1">IFERROR(__xludf.DUMMYFUNCTION("IF(REGEXMATCH(Q55,""^\d,\d\d$""),VALUE(Q55),0)"),0)</f>
        <v>0</v>
      </c>
      <c r="S55" s="21"/>
      <c r="T55" s="22"/>
    </row>
    <row r="56" spans="1:20" ht="13.2" x14ac:dyDescent="0.25">
      <c r="A56" s="17"/>
      <c r="B56" s="28">
        <v>4</v>
      </c>
      <c r="C56" s="29"/>
      <c r="D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2"/>
      <c r="R56" s="33">
        <f ca="1">IFERROR(__xludf.DUMMYFUNCTION("IF(REGEXMATCH(Q56,""^\d,\d\d$""),VALUE(Q56),0)"),0)</f>
        <v>0</v>
      </c>
      <c r="S56" s="21"/>
      <c r="T56" s="22"/>
    </row>
    <row r="57" spans="1:20" ht="13.2" x14ac:dyDescent="0.25">
      <c r="A57" s="17"/>
      <c r="B57" s="28">
        <v>5</v>
      </c>
      <c r="C57" s="29"/>
      <c r="D57" s="3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2"/>
      <c r="R57" s="33">
        <f ca="1">IFERROR(__xludf.DUMMYFUNCTION("IF(REGEXMATCH(Q57,""^\d,\d\d$""),VALUE(Q57),0)"),0)</f>
        <v>0</v>
      </c>
      <c r="S57" s="21"/>
      <c r="T57" s="22"/>
    </row>
    <row r="58" spans="1:20" ht="13.2" x14ac:dyDescent="0.25">
      <c r="A58" s="17"/>
      <c r="B58" s="35" t="s">
        <v>18</v>
      </c>
      <c r="C58" s="36"/>
      <c r="D58" s="44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9"/>
      <c r="R58" s="40"/>
      <c r="S58" s="21"/>
      <c r="T58" s="22"/>
    </row>
    <row r="59" spans="1:20" ht="13.2" x14ac:dyDescent="0.25">
      <c r="A59" s="17"/>
      <c r="B59" s="17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9"/>
      <c r="R59" s="20"/>
      <c r="S59" s="21"/>
      <c r="T59" s="22"/>
    </row>
    <row r="60" spans="1:20" ht="15.6" x14ac:dyDescent="0.25">
      <c r="A60" s="23">
        <v>8</v>
      </c>
      <c r="B60" s="97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9"/>
      <c r="R60" s="24"/>
      <c r="S60" s="25">
        <f ca="1">IF(COUNTIFS(R61:R65,"&gt;0") &gt; 3, FLOOR((SUM(R61:R65)-MIN(R61,R62,R63,R64,R65))/4,0.0001), )</f>
        <v>0</v>
      </c>
      <c r="T60" s="26" t="str">
        <f ca="1">IF(S60=0,"",RANK(S60,$S$4:$S$224,))</f>
        <v/>
      </c>
    </row>
    <row r="61" spans="1:20" ht="13.2" x14ac:dyDescent="0.25">
      <c r="A61" s="17"/>
      <c r="B61" s="28">
        <v>1</v>
      </c>
      <c r="C61" s="29"/>
      <c r="D61" s="30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2"/>
      <c r="R61" s="33">
        <f ca="1">IFERROR(__xludf.DUMMYFUNCTION("IF(REGEXMATCH(Q61,""^\d,\d\d$""),VALUE(Q61),0)"),0)</f>
        <v>0</v>
      </c>
      <c r="S61" s="21"/>
      <c r="T61" s="22"/>
    </row>
    <row r="62" spans="1:20" ht="13.2" x14ac:dyDescent="0.25">
      <c r="A62" s="17"/>
      <c r="B62" s="28">
        <v>2</v>
      </c>
      <c r="C62" s="29"/>
      <c r="D62" s="30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2"/>
      <c r="R62" s="33">
        <f ca="1">IFERROR(__xludf.DUMMYFUNCTION("IF(REGEXMATCH(Q62,""^\d,\d\d$""),VALUE(Q62),0)"),0)</f>
        <v>0</v>
      </c>
      <c r="S62" s="21"/>
      <c r="T62" s="22"/>
    </row>
    <row r="63" spans="1:20" ht="13.2" x14ac:dyDescent="0.25">
      <c r="A63" s="17"/>
      <c r="B63" s="28">
        <v>3</v>
      </c>
      <c r="C63" s="29"/>
      <c r="D63" s="30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2"/>
      <c r="R63" s="33">
        <f ca="1">IFERROR(__xludf.DUMMYFUNCTION("IF(REGEXMATCH(Q63,""^\d,\d\d$""),VALUE(Q63),0)"),0)</f>
        <v>0</v>
      </c>
      <c r="S63" s="21"/>
      <c r="T63" s="22"/>
    </row>
    <row r="64" spans="1:20" ht="13.2" x14ac:dyDescent="0.25">
      <c r="A64" s="17"/>
      <c r="B64" s="28">
        <v>4</v>
      </c>
      <c r="C64" s="29"/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2"/>
      <c r="R64" s="33">
        <f ca="1">IFERROR(__xludf.DUMMYFUNCTION("IF(REGEXMATCH(Q64,""^\d,\d\d$""),VALUE(Q64),0)"),0)</f>
        <v>0</v>
      </c>
      <c r="S64" s="21"/>
      <c r="T64" s="22"/>
    </row>
    <row r="65" spans="1:20" ht="13.2" x14ac:dyDescent="0.25">
      <c r="A65" s="17"/>
      <c r="B65" s="28">
        <v>5</v>
      </c>
      <c r="C65" s="29"/>
      <c r="D65" s="30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2"/>
      <c r="R65" s="33">
        <f ca="1">IFERROR(__xludf.DUMMYFUNCTION("IF(REGEXMATCH(Q65,""^\d,\d\d$""),VALUE(Q65),0)"),0)</f>
        <v>0</v>
      </c>
      <c r="S65" s="21"/>
      <c r="T65" s="22"/>
    </row>
    <row r="66" spans="1:20" ht="13.2" x14ac:dyDescent="0.25">
      <c r="A66" s="17"/>
      <c r="B66" s="35" t="s">
        <v>18</v>
      </c>
      <c r="C66" s="36"/>
      <c r="D66" s="44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9"/>
      <c r="R66" s="40"/>
      <c r="S66" s="21"/>
      <c r="T66" s="22"/>
    </row>
    <row r="67" spans="1:20" ht="13.2" x14ac:dyDescent="0.25">
      <c r="A67" s="17"/>
      <c r="B67" s="17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9"/>
      <c r="R67" s="20"/>
      <c r="S67" s="21"/>
      <c r="T67" s="22"/>
    </row>
    <row r="68" spans="1:20" ht="15.6" x14ac:dyDescent="0.25">
      <c r="A68" s="23">
        <v>9</v>
      </c>
      <c r="B68" s="97" t="s">
        <v>508</v>
      </c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9"/>
      <c r="R68" s="24"/>
      <c r="S68" s="25">
        <f ca="1">IF(COUNTIFS(R69:R73,"&gt;0") &gt; 3, FLOOR((SUM(R69:R73)-MIN(R69,R70,R71,R72,R73))/4,0.0001), )</f>
        <v>0</v>
      </c>
      <c r="T68" s="26" t="str">
        <f ca="1">IF(S68=0,"",RANK(S68,$S$4:$S$224,))</f>
        <v/>
      </c>
    </row>
    <row r="69" spans="1:20" ht="13.2" x14ac:dyDescent="0.25">
      <c r="A69" s="17"/>
      <c r="B69" s="28">
        <v>1</v>
      </c>
      <c r="C69" s="29"/>
      <c r="D69" s="30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2"/>
      <c r="R69" s="33">
        <f ca="1">IFERROR(__xludf.DUMMYFUNCTION("IF(REGEXMATCH(Q69,""^\d,\d\d$""),VALUE(Q69),0)"),0)</f>
        <v>0</v>
      </c>
      <c r="S69" s="21"/>
      <c r="T69" s="22"/>
    </row>
    <row r="70" spans="1:20" ht="13.2" x14ac:dyDescent="0.25">
      <c r="A70" s="17"/>
      <c r="B70" s="28">
        <v>2</v>
      </c>
      <c r="C70" s="29"/>
      <c r="D70" s="30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2"/>
      <c r="R70" s="33">
        <f ca="1">IFERROR(__xludf.DUMMYFUNCTION("IF(REGEXMATCH(Q70,""^\d,\d\d$""),VALUE(Q70),0)"),0)</f>
        <v>0</v>
      </c>
      <c r="S70" s="21"/>
      <c r="T70" s="22"/>
    </row>
    <row r="71" spans="1:20" ht="13.2" x14ac:dyDescent="0.25">
      <c r="A71" s="17"/>
      <c r="B71" s="28">
        <v>3</v>
      </c>
      <c r="C71" s="29"/>
      <c r="D71" s="30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2"/>
      <c r="R71" s="33">
        <f ca="1">IFERROR(__xludf.DUMMYFUNCTION("IF(REGEXMATCH(Q71,""^\d,\d\d$""),VALUE(Q71),0)"),0)</f>
        <v>0</v>
      </c>
      <c r="S71" s="21"/>
      <c r="T71" s="22"/>
    </row>
    <row r="72" spans="1:20" ht="13.2" x14ac:dyDescent="0.25">
      <c r="A72" s="17"/>
      <c r="B72" s="28">
        <v>4</v>
      </c>
      <c r="C72" s="29"/>
      <c r="D72" s="30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2"/>
      <c r="R72" s="33">
        <f ca="1">IFERROR(__xludf.DUMMYFUNCTION("IF(REGEXMATCH(Q72,""^\d,\d\d$""),VALUE(Q72),0)"),0)</f>
        <v>0</v>
      </c>
      <c r="S72" s="21"/>
      <c r="T72" s="22"/>
    </row>
    <row r="73" spans="1:20" ht="13.2" x14ac:dyDescent="0.25">
      <c r="A73" s="17"/>
      <c r="B73" s="28">
        <v>5</v>
      </c>
      <c r="C73" s="29"/>
      <c r="D73" s="30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2"/>
      <c r="R73" s="33">
        <f ca="1">IFERROR(__xludf.DUMMYFUNCTION("IF(REGEXMATCH(Q73,""^\d,\d\d$""),VALUE(Q73),0)"),0)</f>
        <v>0</v>
      </c>
      <c r="S73" s="21"/>
      <c r="T73" s="22"/>
    </row>
    <row r="74" spans="1:20" ht="13.2" x14ac:dyDescent="0.25">
      <c r="A74" s="17"/>
      <c r="B74" s="35" t="s">
        <v>18</v>
      </c>
      <c r="C74" s="36"/>
      <c r="D74" s="44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9"/>
      <c r="R74" s="40"/>
      <c r="S74" s="21"/>
      <c r="T74" s="22"/>
    </row>
    <row r="75" spans="1:20" ht="13.2" x14ac:dyDescent="0.25">
      <c r="A75" s="17"/>
      <c r="B75" s="17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9"/>
      <c r="R75" s="20"/>
      <c r="S75" s="21"/>
      <c r="T75" s="22"/>
    </row>
    <row r="76" spans="1:20" ht="15.6" x14ac:dyDescent="0.25">
      <c r="A76" s="23">
        <v>10</v>
      </c>
      <c r="B76" s="97" t="s">
        <v>509</v>
      </c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9"/>
      <c r="R76" s="24"/>
      <c r="S76" s="25">
        <f ca="1">IF(COUNTIFS(R77:R81,"&gt;0") &gt; 3, FLOOR((SUM(R77:R81)-MIN(R77,R78,R79,R80,R81))/4,0.0001), )</f>
        <v>0</v>
      </c>
      <c r="T76" s="26" t="str">
        <f ca="1">IF(S76=0,"",RANK(S76,$S$4:$S$224,))</f>
        <v/>
      </c>
    </row>
    <row r="77" spans="1:20" ht="13.2" x14ac:dyDescent="0.25">
      <c r="A77" s="17"/>
      <c r="B77" s="28">
        <v>1</v>
      </c>
      <c r="C77" s="29"/>
      <c r="D77" s="30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2"/>
      <c r="R77" s="33">
        <f ca="1">IFERROR(__xludf.DUMMYFUNCTION("IF(REGEXMATCH(Q77,""^\d,\d\d$""),VALUE(Q77),0)"),0)</f>
        <v>0</v>
      </c>
      <c r="S77" s="21"/>
      <c r="T77" s="22"/>
    </row>
    <row r="78" spans="1:20" ht="13.2" x14ac:dyDescent="0.25">
      <c r="A78" s="17"/>
      <c r="B78" s="28">
        <v>2</v>
      </c>
      <c r="C78" s="29"/>
      <c r="D78" s="30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2"/>
      <c r="R78" s="33">
        <f ca="1">IFERROR(__xludf.DUMMYFUNCTION("IF(REGEXMATCH(Q78,""^\d,\d\d$""),VALUE(Q78),0)"),0)</f>
        <v>0</v>
      </c>
      <c r="S78" s="21"/>
      <c r="T78" s="22"/>
    </row>
    <row r="79" spans="1:20" ht="13.2" x14ac:dyDescent="0.25">
      <c r="A79" s="17"/>
      <c r="B79" s="28">
        <v>3</v>
      </c>
      <c r="C79" s="29"/>
      <c r="D79" s="30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2"/>
      <c r="R79" s="33">
        <f ca="1">IFERROR(__xludf.DUMMYFUNCTION("IF(REGEXMATCH(Q79,""^\d,\d\d$""),VALUE(Q79),0)"),0)</f>
        <v>0</v>
      </c>
      <c r="S79" s="21"/>
      <c r="T79" s="22"/>
    </row>
    <row r="80" spans="1:20" ht="13.2" x14ac:dyDescent="0.25">
      <c r="A80" s="17"/>
      <c r="B80" s="28">
        <v>4</v>
      </c>
      <c r="C80" s="29"/>
      <c r="D80" s="30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2"/>
      <c r="R80" s="33">
        <f ca="1">IFERROR(__xludf.DUMMYFUNCTION("IF(REGEXMATCH(Q80,""^\d,\d\d$""),VALUE(Q80),0)"),0)</f>
        <v>0</v>
      </c>
      <c r="S80" s="21"/>
      <c r="T80" s="22"/>
    </row>
    <row r="81" spans="1:20" ht="13.2" x14ac:dyDescent="0.25">
      <c r="A81" s="17"/>
      <c r="B81" s="28">
        <v>5</v>
      </c>
      <c r="C81" s="29"/>
      <c r="D81" s="30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2"/>
      <c r="R81" s="33">
        <f ca="1">IFERROR(__xludf.DUMMYFUNCTION("IF(REGEXMATCH(Q81,""^\d,\d\d$""),VALUE(Q81),0)"),0)</f>
        <v>0</v>
      </c>
      <c r="S81" s="21"/>
      <c r="T81" s="22"/>
    </row>
    <row r="82" spans="1:20" ht="13.2" x14ac:dyDescent="0.25">
      <c r="A82" s="17"/>
      <c r="B82" s="35" t="s">
        <v>18</v>
      </c>
      <c r="C82" s="36"/>
      <c r="D82" s="44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9"/>
      <c r="R82" s="40"/>
      <c r="S82" s="21"/>
      <c r="T82" s="22"/>
    </row>
    <row r="83" spans="1:20" ht="13.2" x14ac:dyDescent="0.25">
      <c r="A83" s="17"/>
      <c r="B83" s="17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9"/>
      <c r="R83" s="20"/>
      <c r="S83" s="21"/>
      <c r="T83" s="22"/>
    </row>
    <row r="84" spans="1:20" ht="15.6" x14ac:dyDescent="0.25">
      <c r="A84" s="23">
        <v>11</v>
      </c>
      <c r="B84" s="97" t="s">
        <v>510</v>
      </c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9"/>
      <c r="R84" s="24"/>
      <c r="S84" s="25">
        <f ca="1">IF(COUNTIFS(R85:R89,"&gt;0") &gt; 3, FLOOR((SUM(R85:R89)-MIN(R85,R86,R87,R88,R89))/4,0.0001), )</f>
        <v>0</v>
      </c>
      <c r="T84" s="26" t="str">
        <f ca="1">IF(S84=0,"",RANK(S84,$S$4:$S$224,))</f>
        <v/>
      </c>
    </row>
    <row r="85" spans="1:20" ht="13.2" x14ac:dyDescent="0.25">
      <c r="A85" s="17"/>
      <c r="B85" s="28">
        <v>1</v>
      </c>
      <c r="C85" s="29"/>
      <c r="D85" s="30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2"/>
      <c r="R85" s="33">
        <f ca="1">IFERROR(__xludf.DUMMYFUNCTION("IF(REGEXMATCH(Q85,""^\d,\d\d$""),VALUE(Q85),0)"),0)</f>
        <v>0</v>
      </c>
      <c r="S85" s="21"/>
      <c r="T85" s="22"/>
    </row>
    <row r="86" spans="1:20" ht="13.2" x14ac:dyDescent="0.25">
      <c r="A86" s="17"/>
      <c r="B86" s="28">
        <v>2</v>
      </c>
      <c r="C86" s="29"/>
      <c r="D86" s="30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2"/>
      <c r="R86" s="33">
        <f ca="1">IFERROR(__xludf.DUMMYFUNCTION("IF(REGEXMATCH(Q86,""^\d,\d\d$""),VALUE(Q86),0)"),0)</f>
        <v>0</v>
      </c>
      <c r="S86" s="21"/>
      <c r="T86" s="22"/>
    </row>
    <row r="87" spans="1:20" ht="13.2" x14ac:dyDescent="0.25">
      <c r="A87" s="17"/>
      <c r="B87" s="28">
        <v>3</v>
      </c>
      <c r="C87" s="29"/>
      <c r="D87" s="30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2"/>
      <c r="R87" s="33">
        <f ca="1">IFERROR(__xludf.DUMMYFUNCTION("IF(REGEXMATCH(Q87,""^\d,\d\d$""),VALUE(Q87),0)"),0)</f>
        <v>0</v>
      </c>
      <c r="S87" s="21"/>
      <c r="T87" s="22"/>
    </row>
    <row r="88" spans="1:20" ht="13.2" x14ac:dyDescent="0.25">
      <c r="A88" s="17"/>
      <c r="B88" s="28">
        <v>4</v>
      </c>
      <c r="C88" s="29"/>
      <c r="D88" s="30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2"/>
      <c r="R88" s="33">
        <f ca="1">IFERROR(__xludf.DUMMYFUNCTION("IF(REGEXMATCH(Q88,""^\d,\d\d$""),VALUE(Q88),0)"),0)</f>
        <v>0</v>
      </c>
      <c r="S88" s="21"/>
      <c r="T88" s="22"/>
    </row>
    <row r="89" spans="1:20" ht="13.2" x14ac:dyDescent="0.25">
      <c r="A89" s="17"/>
      <c r="B89" s="28">
        <v>5</v>
      </c>
      <c r="C89" s="29"/>
      <c r="D89" s="30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2"/>
      <c r="R89" s="33">
        <f ca="1">IFERROR(__xludf.DUMMYFUNCTION("IF(REGEXMATCH(Q89,""^\d,\d\d$""),VALUE(Q89),0)"),0)</f>
        <v>0</v>
      </c>
      <c r="S89" s="21"/>
      <c r="T89" s="22"/>
    </row>
    <row r="90" spans="1:20" ht="13.2" x14ac:dyDescent="0.25">
      <c r="A90" s="17"/>
      <c r="B90" s="35" t="s">
        <v>18</v>
      </c>
      <c r="C90" s="36"/>
      <c r="D90" s="44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9"/>
      <c r="R90" s="40"/>
      <c r="S90" s="21"/>
      <c r="T90" s="22"/>
    </row>
    <row r="91" spans="1:20" ht="13.2" x14ac:dyDescent="0.25">
      <c r="A91" s="17"/>
      <c r="B91" s="17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9"/>
      <c r="R91" s="20"/>
      <c r="S91" s="21"/>
      <c r="T91" s="22"/>
    </row>
    <row r="92" spans="1:20" ht="15.6" x14ac:dyDescent="0.25">
      <c r="A92" s="23">
        <v>12</v>
      </c>
      <c r="B92" s="97" t="s">
        <v>511</v>
      </c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9"/>
      <c r="R92" s="24"/>
      <c r="S92" s="25">
        <f ca="1">IF(COUNTIFS(R93:R97,"&gt;0") &gt; 3, FLOOR((SUM(R93:R97)-MIN(R93,R94,R95,R96,R97))/4,0.0001), )</f>
        <v>0</v>
      </c>
      <c r="T92" s="26" t="str">
        <f ca="1">IF(S92=0,"",RANK(S92,$S$4:$S$224,))</f>
        <v/>
      </c>
    </row>
    <row r="93" spans="1:20" ht="13.2" x14ac:dyDescent="0.25">
      <c r="A93" s="17"/>
      <c r="B93" s="28">
        <v>1</v>
      </c>
      <c r="C93" s="29"/>
      <c r="D93" s="30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2"/>
      <c r="R93" s="33">
        <f ca="1">IFERROR(__xludf.DUMMYFUNCTION("IF(REGEXMATCH(Q93,""^\d,\d\d$""),VALUE(Q93),0)"),0)</f>
        <v>0</v>
      </c>
      <c r="S93" s="21"/>
      <c r="T93" s="22"/>
    </row>
    <row r="94" spans="1:20" ht="13.2" x14ac:dyDescent="0.25">
      <c r="A94" s="17"/>
      <c r="B94" s="28">
        <v>2</v>
      </c>
      <c r="C94" s="29"/>
      <c r="D94" s="30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2"/>
      <c r="R94" s="33">
        <f ca="1">IFERROR(__xludf.DUMMYFUNCTION("IF(REGEXMATCH(Q94,""^\d,\d\d$""),VALUE(Q94),0)"),0)</f>
        <v>0</v>
      </c>
      <c r="S94" s="21"/>
      <c r="T94" s="22"/>
    </row>
    <row r="95" spans="1:20" ht="13.2" x14ac:dyDescent="0.25">
      <c r="A95" s="17"/>
      <c r="B95" s="28">
        <v>3</v>
      </c>
      <c r="C95" s="29"/>
      <c r="D95" s="30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2"/>
      <c r="R95" s="33">
        <f ca="1">IFERROR(__xludf.DUMMYFUNCTION("IF(REGEXMATCH(Q95,""^\d,\d\d$""),VALUE(Q95),0)"),0)</f>
        <v>0</v>
      </c>
      <c r="S95" s="21"/>
      <c r="T95" s="22"/>
    </row>
    <row r="96" spans="1:20" ht="13.2" x14ac:dyDescent="0.25">
      <c r="A96" s="17"/>
      <c r="B96" s="28">
        <v>4</v>
      </c>
      <c r="C96" s="29"/>
      <c r="D96" s="30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2"/>
      <c r="R96" s="33">
        <f ca="1">IFERROR(__xludf.DUMMYFUNCTION("IF(REGEXMATCH(Q96,""^\d,\d\d$""),VALUE(Q96),0)"),0)</f>
        <v>0</v>
      </c>
      <c r="S96" s="21"/>
      <c r="T96" s="22"/>
    </row>
    <row r="97" spans="1:20" ht="13.2" x14ac:dyDescent="0.25">
      <c r="A97" s="17"/>
      <c r="B97" s="28">
        <v>5</v>
      </c>
      <c r="C97" s="29"/>
      <c r="D97" s="30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2"/>
      <c r="R97" s="33">
        <f ca="1">IFERROR(__xludf.DUMMYFUNCTION("IF(REGEXMATCH(Q97,""^\d,\d\d$""),VALUE(Q97),0)"),0)</f>
        <v>0</v>
      </c>
      <c r="S97" s="21"/>
      <c r="T97" s="22"/>
    </row>
    <row r="98" spans="1:20" ht="13.2" x14ac:dyDescent="0.25">
      <c r="A98" s="17"/>
      <c r="B98" s="35" t="s">
        <v>18</v>
      </c>
      <c r="C98" s="36"/>
      <c r="D98" s="44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9"/>
      <c r="R98" s="40"/>
      <c r="S98" s="21"/>
      <c r="T98" s="22"/>
    </row>
    <row r="99" spans="1:20" ht="13.2" x14ac:dyDescent="0.25">
      <c r="A99" s="17"/>
      <c r="B99" s="17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9"/>
      <c r="R99" s="20"/>
      <c r="S99" s="21"/>
      <c r="T99" s="22"/>
    </row>
    <row r="100" spans="1:20" ht="15.6" x14ac:dyDescent="0.25">
      <c r="A100" s="23">
        <v>13</v>
      </c>
      <c r="B100" s="97" t="s">
        <v>512</v>
      </c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9"/>
      <c r="R100" s="24"/>
      <c r="S100" s="25">
        <f ca="1">IF(COUNTIFS(R101:R105,"&gt;0") &gt; 3, FLOOR((SUM(R101:R105)-MIN(R101,R102,R103,R104,R105))/4,0.0001), )</f>
        <v>0</v>
      </c>
      <c r="T100" s="26" t="str">
        <f ca="1">IF(S100=0,"",RANK(S100,$S$4:$S$224,))</f>
        <v/>
      </c>
    </row>
    <row r="101" spans="1:20" ht="13.2" x14ac:dyDescent="0.25">
      <c r="A101" s="17"/>
      <c r="B101" s="28">
        <v>1</v>
      </c>
      <c r="C101" s="29"/>
      <c r="D101" s="30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2"/>
      <c r="R101" s="33">
        <f ca="1">IFERROR(__xludf.DUMMYFUNCTION("IF(REGEXMATCH(Q101,""^\d,\d\d$""),VALUE(Q101),0)"),0)</f>
        <v>0</v>
      </c>
      <c r="S101" s="21"/>
      <c r="T101" s="22"/>
    </row>
    <row r="102" spans="1:20" ht="13.2" x14ac:dyDescent="0.25">
      <c r="A102" s="17"/>
      <c r="B102" s="28">
        <v>2</v>
      </c>
      <c r="C102" s="29"/>
      <c r="D102" s="30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2"/>
      <c r="R102" s="33">
        <f ca="1">IFERROR(__xludf.DUMMYFUNCTION("IF(REGEXMATCH(Q102,""^\d,\d\d$""),VALUE(Q102),0)"),0)</f>
        <v>0</v>
      </c>
      <c r="S102" s="21"/>
      <c r="T102" s="22"/>
    </row>
    <row r="103" spans="1:20" ht="13.2" x14ac:dyDescent="0.25">
      <c r="A103" s="17"/>
      <c r="B103" s="28">
        <v>3</v>
      </c>
      <c r="C103" s="29"/>
      <c r="D103" s="30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2"/>
      <c r="R103" s="33">
        <f ca="1">IFERROR(__xludf.DUMMYFUNCTION("IF(REGEXMATCH(Q103,""^\d,\d\d$""),VALUE(Q103),0)"),0)</f>
        <v>0</v>
      </c>
      <c r="S103" s="21"/>
      <c r="T103" s="22"/>
    </row>
    <row r="104" spans="1:20" ht="13.2" x14ac:dyDescent="0.25">
      <c r="A104" s="17"/>
      <c r="B104" s="28">
        <v>4</v>
      </c>
      <c r="C104" s="29"/>
      <c r="D104" s="30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2"/>
      <c r="R104" s="33">
        <f ca="1">IFERROR(__xludf.DUMMYFUNCTION("IF(REGEXMATCH(Q104,""^\d,\d\d$""),VALUE(Q104),0)"),0)</f>
        <v>0</v>
      </c>
      <c r="S104" s="21"/>
      <c r="T104" s="22"/>
    </row>
    <row r="105" spans="1:20" ht="13.2" x14ac:dyDescent="0.25">
      <c r="A105" s="17"/>
      <c r="B105" s="28">
        <v>5</v>
      </c>
      <c r="C105" s="29"/>
      <c r="D105" s="30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2"/>
      <c r="R105" s="33">
        <f ca="1">IFERROR(__xludf.DUMMYFUNCTION("IF(REGEXMATCH(Q105,""^\d,\d\d$""),VALUE(Q105),0)"),0)</f>
        <v>0</v>
      </c>
      <c r="S105" s="21"/>
      <c r="T105" s="22"/>
    </row>
    <row r="106" spans="1:20" ht="13.2" x14ac:dyDescent="0.25">
      <c r="A106" s="17"/>
      <c r="B106" s="35" t="s">
        <v>18</v>
      </c>
      <c r="C106" s="36"/>
      <c r="D106" s="44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9"/>
      <c r="R106" s="40"/>
      <c r="S106" s="21"/>
      <c r="T106" s="22"/>
    </row>
    <row r="107" spans="1:20" ht="13.2" x14ac:dyDescent="0.25">
      <c r="A107" s="17"/>
      <c r="B107" s="17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9"/>
      <c r="R107" s="20"/>
      <c r="S107" s="21"/>
      <c r="T107" s="22"/>
    </row>
    <row r="108" spans="1:20" ht="15.6" x14ac:dyDescent="0.25">
      <c r="A108" s="23">
        <v>14</v>
      </c>
      <c r="B108" s="97" t="s">
        <v>513</v>
      </c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9"/>
      <c r="R108" s="24"/>
      <c r="S108" s="25">
        <f ca="1">IF(COUNTIFS(R109:R113,"&gt;0") &gt; 3, FLOOR((SUM(R109:R113)-MIN(R109,R110,R111,R112,R113))/4,0.0001), )</f>
        <v>0</v>
      </c>
      <c r="T108" s="26" t="str">
        <f ca="1">IF(S108=0,"",RANK(S108,$S$4:$S$224,))</f>
        <v/>
      </c>
    </row>
    <row r="109" spans="1:20" ht="13.2" x14ac:dyDescent="0.25">
      <c r="A109" s="17"/>
      <c r="B109" s="28">
        <v>1</v>
      </c>
      <c r="C109" s="29"/>
      <c r="D109" s="30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2"/>
      <c r="R109" s="33">
        <f ca="1">IFERROR(__xludf.DUMMYFUNCTION("IF(REGEXMATCH(Q109,""^\d,\d\d$""),VALUE(Q109),0)"),0)</f>
        <v>0</v>
      </c>
      <c r="S109" s="21"/>
      <c r="T109" s="22"/>
    </row>
    <row r="110" spans="1:20" ht="13.2" x14ac:dyDescent="0.25">
      <c r="A110" s="17"/>
      <c r="B110" s="28">
        <v>2</v>
      </c>
      <c r="C110" s="29"/>
      <c r="D110" s="30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2"/>
      <c r="R110" s="33">
        <f ca="1">IFERROR(__xludf.DUMMYFUNCTION("IF(REGEXMATCH(Q110,""^\d,\d\d$""),VALUE(Q110),0)"),0)</f>
        <v>0</v>
      </c>
      <c r="S110" s="21"/>
      <c r="T110" s="22"/>
    </row>
    <row r="111" spans="1:20" ht="13.2" x14ac:dyDescent="0.25">
      <c r="A111" s="17"/>
      <c r="B111" s="28">
        <v>3</v>
      </c>
      <c r="C111" s="29"/>
      <c r="D111" s="30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2"/>
      <c r="R111" s="33">
        <f ca="1">IFERROR(__xludf.DUMMYFUNCTION("IF(REGEXMATCH(Q111,""^\d,\d\d$""),VALUE(Q111),0)"),0)</f>
        <v>0</v>
      </c>
      <c r="S111" s="21"/>
      <c r="T111" s="22"/>
    </row>
    <row r="112" spans="1:20" ht="13.2" x14ac:dyDescent="0.25">
      <c r="A112" s="17"/>
      <c r="B112" s="28">
        <v>4</v>
      </c>
      <c r="C112" s="29"/>
      <c r="D112" s="30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2"/>
      <c r="R112" s="33">
        <f ca="1">IFERROR(__xludf.DUMMYFUNCTION("IF(REGEXMATCH(Q112,""^\d,\d\d$""),VALUE(Q112),0)"),0)</f>
        <v>0</v>
      </c>
      <c r="S112" s="21"/>
      <c r="T112" s="22"/>
    </row>
    <row r="113" spans="1:20" ht="13.2" x14ac:dyDescent="0.25">
      <c r="A113" s="17"/>
      <c r="B113" s="28">
        <v>5</v>
      </c>
      <c r="C113" s="29"/>
      <c r="D113" s="30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2"/>
      <c r="R113" s="33">
        <f ca="1">IFERROR(__xludf.DUMMYFUNCTION("IF(REGEXMATCH(Q113,""^\d,\d\d$""),VALUE(Q113),0)"),0)</f>
        <v>0</v>
      </c>
      <c r="S113" s="21"/>
      <c r="T113" s="22"/>
    </row>
    <row r="114" spans="1:20" ht="13.2" x14ac:dyDescent="0.25">
      <c r="A114" s="17"/>
      <c r="B114" s="35" t="s">
        <v>18</v>
      </c>
      <c r="C114" s="36"/>
      <c r="D114" s="44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9"/>
      <c r="R114" s="40"/>
      <c r="S114" s="21"/>
      <c r="T114" s="22"/>
    </row>
    <row r="115" spans="1:20" ht="13.2" x14ac:dyDescent="0.25">
      <c r="A115" s="17"/>
      <c r="B115" s="17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9"/>
      <c r="R115" s="20"/>
      <c r="S115" s="21"/>
      <c r="T115" s="22"/>
    </row>
    <row r="116" spans="1:20" ht="15.6" x14ac:dyDescent="0.25">
      <c r="A116" s="23">
        <v>15</v>
      </c>
      <c r="B116" s="97" t="s">
        <v>514</v>
      </c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9"/>
      <c r="R116" s="24"/>
      <c r="S116" s="25">
        <f ca="1">IF(COUNTIFS(R117:R121,"&gt;0") &gt; 3, FLOOR((SUM(R117:R121)-MIN(R117,R118,R119,R120,R121))/4,0.0001), )</f>
        <v>0</v>
      </c>
      <c r="T116" s="26" t="str">
        <f ca="1">IF(S116=0,"",RANK(S116,$S$4:$S$224,))</f>
        <v/>
      </c>
    </row>
    <row r="117" spans="1:20" ht="13.2" x14ac:dyDescent="0.25">
      <c r="A117" s="17"/>
      <c r="B117" s="28">
        <v>1</v>
      </c>
      <c r="C117" s="29"/>
      <c r="D117" s="30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2"/>
      <c r="R117" s="33">
        <f ca="1">IFERROR(__xludf.DUMMYFUNCTION("IF(REGEXMATCH(Q117,""^\d,\d\d$""),VALUE(Q117),0)"),0)</f>
        <v>0</v>
      </c>
      <c r="S117" s="21"/>
      <c r="T117" s="22"/>
    </row>
    <row r="118" spans="1:20" ht="13.2" x14ac:dyDescent="0.25">
      <c r="A118" s="17"/>
      <c r="B118" s="28">
        <v>2</v>
      </c>
      <c r="C118" s="29"/>
      <c r="D118" s="30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2"/>
      <c r="R118" s="33">
        <f ca="1">IFERROR(__xludf.DUMMYFUNCTION("IF(REGEXMATCH(Q118,""^\d,\d\d$""),VALUE(Q118),0)"),0)</f>
        <v>0</v>
      </c>
      <c r="S118" s="21"/>
      <c r="T118" s="22"/>
    </row>
    <row r="119" spans="1:20" ht="13.2" x14ac:dyDescent="0.25">
      <c r="A119" s="17"/>
      <c r="B119" s="28">
        <v>3</v>
      </c>
      <c r="C119" s="29"/>
      <c r="D119" s="30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2"/>
      <c r="R119" s="33">
        <f ca="1">IFERROR(__xludf.DUMMYFUNCTION("IF(REGEXMATCH(Q119,""^\d,\d\d$""),VALUE(Q119),0)"),0)</f>
        <v>0</v>
      </c>
      <c r="S119" s="21"/>
      <c r="T119" s="22"/>
    </row>
    <row r="120" spans="1:20" ht="13.2" x14ac:dyDescent="0.25">
      <c r="A120" s="17"/>
      <c r="B120" s="28">
        <v>4</v>
      </c>
      <c r="C120" s="29"/>
      <c r="D120" s="30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2"/>
      <c r="R120" s="33">
        <f ca="1">IFERROR(__xludf.DUMMYFUNCTION("IF(REGEXMATCH(Q120,""^\d,\d\d$""),VALUE(Q120),0)"),0)</f>
        <v>0</v>
      </c>
      <c r="S120" s="21"/>
      <c r="T120" s="22"/>
    </row>
    <row r="121" spans="1:20" ht="13.2" x14ac:dyDescent="0.25">
      <c r="A121" s="17"/>
      <c r="B121" s="28">
        <v>5</v>
      </c>
      <c r="C121" s="29"/>
      <c r="D121" s="30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2"/>
      <c r="R121" s="33">
        <f ca="1">IFERROR(__xludf.DUMMYFUNCTION("IF(REGEXMATCH(Q121,""^\d,\d\d$""),VALUE(Q121),0)"),0)</f>
        <v>0</v>
      </c>
      <c r="S121" s="21"/>
      <c r="T121" s="22"/>
    </row>
    <row r="122" spans="1:20" ht="13.2" x14ac:dyDescent="0.25">
      <c r="A122" s="17"/>
      <c r="B122" s="35" t="s">
        <v>18</v>
      </c>
      <c r="C122" s="36"/>
      <c r="D122" s="44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9"/>
      <c r="R122" s="40"/>
      <c r="S122" s="21"/>
      <c r="T122" s="22"/>
    </row>
    <row r="123" spans="1:20" ht="13.2" x14ac:dyDescent="0.25">
      <c r="A123" s="17"/>
      <c r="B123" s="17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9"/>
      <c r="R123" s="20"/>
      <c r="S123" s="21"/>
      <c r="T123" s="22"/>
    </row>
    <row r="124" spans="1:20" ht="15.6" x14ac:dyDescent="0.25">
      <c r="A124" s="23">
        <v>16</v>
      </c>
      <c r="B124" s="97" t="s">
        <v>63</v>
      </c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9"/>
      <c r="R124" s="24"/>
      <c r="S124" s="25">
        <f ca="1">IF(COUNTIFS(R125:R129,"&gt;0") &gt; 3, FLOOR((SUM(R125:R129)-MIN(R125,R126,R127,R128,R129))/4,0.0001), )</f>
        <v>0</v>
      </c>
      <c r="T124" s="26" t="str">
        <f ca="1">IF(S124=0,"",RANK(S124,$S$4:$S$224,))</f>
        <v/>
      </c>
    </row>
    <row r="125" spans="1:20" ht="13.2" x14ac:dyDescent="0.25">
      <c r="A125" s="17"/>
      <c r="B125" s="28">
        <v>1</v>
      </c>
      <c r="C125" s="29"/>
      <c r="D125" s="30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2"/>
      <c r="R125" s="33">
        <f ca="1">IFERROR(__xludf.DUMMYFUNCTION("IF(REGEXMATCH(Q125,""^\d,\d\d$""),VALUE(Q125),0)"),0)</f>
        <v>0</v>
      </c>
      <c r="S125" s="21"/>
      <c r="T125" s="22"/>
    </row>
    <row r="126" spans="1:20" ht="13.2" x14ac:dyDescent="0.25">
      <c r="A126" s="17"/>
      <c r="B126" s="28">
        <v>2</v>
      </c>
      <c r="C126" s="29"/>
      <c r="D126" s="30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2"/>
      <c r="R126" s="33">
        <f ca="1">IFERROR(__xludf.DUMMYFUNCTION("IF(REGEXMATCH(Q126,""^\d,\d\d$""),VALUE(Q126),0)"),0)</f>
        <v>0</v>
      </c>
      <c r="S126" s="21"/>
      <c r="T126" s="22"/>
    </row>
    <row r="127" spans="1:20" ht="13.2" x14ac:dyDescent="0.25">
      <c r="A127" s="17"/>
      <c r="B127" s="28">
        <v>3</v>
      </c>
      <c r="C127" s="29"/>
      <c r="D127" s="30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2"/>
      <c r="R127" s="33">
        <f ca="1">IFERROR(__xludf.DUMMYFUNCTION("IF(REGEXMATCH(Q127,""^\d,\d\d$""),VALUE(Q127),0)"),0)</f>
        <v>0</v>
      </c>
      <c r="S127" s="21"/>
      <c r="T127" s="22"/>
    </row>
    <row r="128" spans="1:20" ht="13.2" x14ac:dyDescent="0.25">
      <c r="A128" s="17"/>
      <c r="B128" s="28">
        <v>4</v>
      </c>
      <c r="C128" s="29"/>
      <c r="D128" s="30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2"/>
      <c r="R128" s="33">
        <f ca="1">IFERROR(__xludf.DUMMYFUNCTION("IF(REGEXMATCH(Q128,""^\d,\d\d$""),VALUE(Q128),0)"),0)</f>
        <v>0</v>
      </c>
      <c r="S128" s="21"/>
      <c r="T128" s="22"/>
    </row>
    <row r="129" spans="1:20" ht="13.2" x14ac:dyDescent="0.25">
      <c r="A129" s="17"/>
      <c r="B129" s="28">
        <v>5</v>
      </c>
      <c r="C129" s="29"/>
      <c r="D129" s="30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2"/>
      <c r="R129" s="33">
        <f ca="1">IFERROR(__xludf.DUMMYFUNCTION("IF(REGEXMATCH(Q129,""^\d,\d\d$""),VALUE(Q129),0)"),0)</f>
        <v>0</v>
      </c>
      <c r="S129" s="21"/>
      <c r="T129" s="22"/>
    </row>
    <row r="130" spans="1:20" ht="13.2" x14ac:dyDescent="0.25">
      <c r="A130" s="17"/>
      <c r="B130" s="35" t="s">
        <v>18</v>
      </c>
      <c r="C130" s="36"/>
      <c r="D130" s="44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9"/>
      <c r="R130" s="40"/>
      <c r="S130" s="21"/>
      <c r="T130" s="22"/>
    </row>
    <row r="131" spans="1:20" ht="13.2" x14ac:dyDescent="0.25">
      <c r="A131" s="17"/>
      <c r="B131" s="17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9"/>
      <c r="R131" s="20"/>
      <c r="S131" s="21"/>
      <c r="T131" s="22"/>
    </row>
    <row r="132" spans="1:20" ht="15.6" x14ac:dyDescent="0.25">
      <c r="A132" s="23">
        <v>17</v>
      </c>
      <c r="B132" s="97" t="s">
        <v>64</v>
      </c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9"/>
      <c r="R132" s="24"/>
      <c r="S132" s="25">
        <f ca="1">IF(COUNTIFS(R133:R137,"&gt;0") &gt; 3, FLOOR((SUM(R133:R137)-MIN(R133,R134,R135,R136,R137))/4,0.0001), )</f>
        <v>0</v>
      </c>
      <c r="T132" s="26" t="str">
        <f ca="1">IF(S132=0,"",RANK(S132,$S$4:$S$224,))</f>
        <v/>
      </c>
    </row>
    <row r="133" spans="1:20" ht="13.2" x14ac:dyDescent="0.25">
      <c r="A133" s="17"/>
      <c r="B133" s="28">
        <v>1</v>
      </c>
      <c r="C133" s="29"/>
      <c r="D133" s="30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2"/>
      <c r="R133" s="33">
        <f ca="1">IFERROR(__xludf.DUMMYFUNCTION("IF(REGEXMATCH(Q133,""^\d,\d\d$""),VALUE(Q133),0)"),0)</f>
        <v>0</v>
      </c>
      <c r="S133" s="21"/>
      <c r="T133" s="22"/>
    </row>
    <row r="134" spans="1:20" ht="13.2" x14ac:dyDescent="0.25">
      <c r="A134" s="17"/>
      <c r="B134" s="28">
        <v>2</v>
      </c>
      <c r="C134" s="29"/>
      <c r="D134" s="30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2"/>
      <c r="R134" s="33">
        <f ca="1">IFERROR(__xludf.DUMMYFUNCTION("IF(REGEXMATCH(Q134,""^\d,\d\d$""),VALUE(Q134),0)"),0)</f>
        <v>0</v>
      </c>
      <c r="S134" s="21"/>
      <c r="T134" s="22"/>
    </row>
    <row r="135" spans="1:20" ht="13.2" x14ac:dyDescent="0.25">
      <c r="A135" s="17"/>
      <c r="B135" s="28">
        <v>3</v>
      </c>
      <c r="C135" s="29"/>
      <c r="D135" s="30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2"/>
      <c r="R135" s="33">
        <f ca="1">IFERROR(__xludf.DUMMYFUNCTION("IF(REGEXMATCH(Q135,""^\d,\d\d$""),VALUE(Q135),0)"),0)</f>
        <v>0</v>
      </c>
      <c r="S135" s="21"/>
      <c r="T135" s="22"/>
    </row>
    <row r="136" spans="1:20" ht="13.2" x14ac:dyDescent="0.25">
      <c r="A136" s="17"/>
      <c r="B136" s="28">
        <v>4</v>
      </c>
      <c r="C136" s="29"/>
      <c r="D136" s="30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2"/>
      <c r="R136" s="33">
        <f ca="1">IFERROR(__xludf.DUMMYFUNCTION("IF(REGEXMATCH(Q136,""^\d,\d\d$""),VALUE(Q136),0)"),0)</f>
        <v>0</v>
      </c>
      <c r="S136" s="21"/>
      <c r="T136" s="22"/>
    </row>
    <row r="137" spans="1:20" ht="13.2" x14ac:dyDescent="0.25">
      <c r="A137" s="17"/>
      <c r="B137" s="28">
        <v>5</v>
      </c>
      <c r="C137" s="29"/>
      <c r="D137" s="30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2"/>
      <c r="R137" s="33">
        <f ca="1">IFERROR(__xludf.DUMMYFUNCTION("IF(REGEXMATCH(Q137,""^\d,\d\d$""),VALUE(Q137),0)"),0)</f>
        <v>0</v>
      </c>
      <c r="S137" s="21"/>
      <c r="T137" s="22"/>
    </row>
    <row r="138" spans="1:20" ht="13.2" x14ac:dyDescent="0.25">
      <c r="A138" s="17"/>
      <c r="B138" s="35" t="s">
        <v>18</v>
      </c>
      <c r="C138" s="36"/>
      <c r="D138" s="44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9"/>
      <c r="R138" s="40"/>
      <c r="S138" s="21"/>
      <c r="T138" s="22"/>
    </row>
    <row r="139" spans="1:20" ht="13.2" x14ac:dyDescent="0.25">
      <c r="A139" s="17"/>
      <c r="B139" s="17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9"/>
      <c r="R139" s="20"/>
      <c r="S139" s="21"/>
      <c r="T139" s="22"/>
    </row>
    <row r="140" spans="1:20" ht="15.6" x14ac:dyDescent="0.25">
      <c r="A140" s="23">
        <v>18</v>
      </c>
      <c r="B140" s="97" t="s">
        <v>65</v>
      </c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9"/>
      <c r="R140" s="24"/>
      <c r="S140" s="25">
        <f ca="1">IF(COUNTIFS(R141:R145,"&gt;0") &gt; 3, FLOOR((SUM(R141:R145)-MIN(R141,R142,R143,R144,R145))/4,0.0001), )</f>
        <v>0</v>
      </c>
      <c r="T140" s="26" t="str">
        <f ca="1">IF(S140=0,"",RANK(S140,$S$4:$S$224,))</f>
        <v/>
      </c>
    </row>
    <row r="141" spans="1:20" ht="13.2" x14ac:dyDescent="0.25">
      <c r="A141" s="17"/>
      <c r="B141" s="28">
        <v>1</v>
      </c>
      <c r="C141" s="29"/>
      <c r="D141" s="30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2"/>
      <c r="R141" s="33">
        <f ca="1">IFERROR(__xludf.DUMMYFUNCTION("IF(REGEXMATCH(Q141,""^\d,\d\d$""),VALUE(Q141),0)"),0)</f>
        <v>0</v>
      </c>
      <c r="S141" s="21"/>
      <c r="T141" s="22"/>
    </row>
    <row r="142" spans="1:20" ht="13.2" x14ac:dyDescent="0.25">
      <c r="A142" s="17"/>
      <c r="B142" s="28">
        <v>2</v>
      </c>
      <c r="C142" s="29"/>
      <c r="D142" s="30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2"/>
      <c r="R142" s="33">
        <f ca="1">IFERROR(__xludf.DUMMYFUNCTION("IF(REGEXMATCH(Q142,""^\d,\d\d$""),VALUE(Q142),0)"),0)</f>
        <v>0</v>
      </c>
      <c r="S142" s="21"/>
      <c r="T142" s="22"/>
    </row>
    <row r="143" spans="1:20" ht="13.2" x14ac:dyDescent="0.25">
      <c r="A143" s="17"/>
      <c r="B143" s="28">
        <v>3</v>
      </c>
      <c r="C143" s="29"/>
      <c r="D143" s="30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2"/>
      <c r="R143" s="33">
        <f ca="1">IFERROR(__xludf.DUMMYFUNCTION("IF(REGEXMATCH(Q143,""^\d,\d\d$""),VALUE(Q143),0)"),0)</f>
        <v>0</v>
      </c>
      <c r="S143" s="21"/>
      <c r="T143" s="22"/>
    </row>
    <row r="144" spans="1:20" ht="13.2" x14ac:dyDescent="0.25">
      <c r="A144" s="17"/>
      <c r="B144" s="28">
        <v>4</v>
      </c>
      <c r="C144" s="29"/>
      <c r="D144" s="30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2"/>
      <c r="R144" s="33">
        <f ca="1">IFERROR(__xludf.DUMMYFUNCTION("IF(REGEXMATCH(Q144,""^\d,\d\d$""),VALUE(Q144),0)"),0)</f>
        <v>0</v>
      </c>
      <c r="S144" s="21"/>
      <c r="T144" s="22"/>
    </row>
    <row r="145" spans="1:20" ht="13.2" x14ac:dyDescent="0.25">
      <c r="A145" s="17"/>
      <c r="B145" s="28">
        <v>5</v>
      </c>
      <c r="C145" s="29"/>
      <c r="D145" s="30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2"/>
      <c r="R145" s="33">
        <f ca="1">IFERROR(__xludf.DUMMYFUNCTION("IF(REGEXMATCH(Q145,""^\d,\d\d$""),VALUE(Q145),0)"),0)</f>
        <v>0</v>
      </c>
      <c r="S145" s="21"/>
      <c r="T145" s="22"/>
    </row>
    <row r="146" spans="1:20" ht="13.2" x14ac:dyDescent="0.25">
      <c r="A146" s="17"/>
      <c r="B146" s="35" t="s">
        <v>18</v>
      </c>
      <c r="C146" s="36"/>
      <c r="D146" s="44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9"/>
      <c r="R146" s="40"/>
      <c r="S146" s="21"/>
      <c r="T146" s="22"/>
    </row>
    <row r="147" spans="1:20" ht="13.2" x14ac:dyDescent="0.25">
      <c r="A147" s="17"/>
      <c r="B147" s="17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9"/>
      <c r="R147" s="20"/>
      <c r="S147" s="21"/>
      <c r="T147" s="22"/>
    </row>
    <row r="148" spans="1:20" ht="15.6" x14ac:dyDescent="0.25">
      <c r="A148" s="23">
        <v>19</v>
      </c>
      <c r="B148" s="97" t="s">
        <v>66</v>
      </c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9"/>
      <c r="R148" s="24"/>
      <c r="S148" s="25">
        <f ca="1">IF(COUNTIFS(R149:R153,"&gt;0") &gt; 3, FLOOR((SUM(R149:R153)-MIN(R149,R150,R151,R152,R153))/4,0.0001), )</f>
        <v>0</v>
      </c>
      <c r="T148" s="26" t="str">
        <f ca="1">IF(S148=0,"",RANK(S148,$S$4:$S$224,))</f>
        <v/>
      </c>
    </row>
    <row r="149" spans="1:20" ht="13.2" x14ac:dyDescent="0.25">
      <c r="A149" s="17"/>
      <c r="B149" s="28">
        <v>1</v>
      </c>
      <c r="C149" s="29"/>
      <c r="D149" s="30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2"/>
      <c r="R149" s="33">
        <f ca="1">IFERROR(__xludf.DUMMYFUNCTION("IF(REGEXMATCH(Q149,""^\d,\d\d$""),VALUE(Q149),0)"),0)</f>
        <v>0</v>
      </c>
      <c r="S149" s="21"/>
      <c r="T149" s="22"/>
    </row>
    <row r="150" spans="1:20" ht="13.2" x14ac:dyDescent="0.25">
      <c r="A150" s="17"/>
      <c r="B150" s="28">
        <v>2</v>
      </c>
      <c r="C150" s="29"/>
      <c r="D150" s="30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2"/>
      <c r="R150" s="33">
        <f ca="1">IFERROR(__xludf.DUMMYFUNCTION("IF(REGEXMATCH(Q150,""^\d,\d\d$""),VALUE(Q150),0)"),0)</f>
        <v>0</v>
      </c>
      <c r="S150" s="21"/>
      <c r="T150" s="22"/>
    </row>
    <row r="151" spans="1:20" ht="13.2" x14ac:dyDescent="0.25">
      <c r="A151" s="17"/>
      <c r="B151" s="28">
        <v>3</v>
      </c>
      <c r="C151" s="29"/>
      <c r="D151" s="30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2"/>
      <c r="R151" s="33">
        <f ca="1">IFERROR(__xludf.DUMMYFUNCTION("IF(REGEXMATCH(Q151,""^\d,\d\d$""),VALUE(Q151),0)"),0)</f>
        <v>0</v>
      </c>
      <c r="S151" s="21"/>
      <c r="T151" s="22"/>
    </row>
    <row r="152" spans="1:20" ht="13.2" x14ac:dyDescent="0.25">
      <c r="A152" s="17"/>
      <c r="B152" s="28">
        <v>4</v>
      </c>
      <c r="C152" s="29"/>
      <c r="D152" s="30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2"/>
      <c r="R152" s="33">
        <f ca="1">IFERROR(__xludf.DUMMYFUNCTION("IF(REGEXMATCH(Q152,""^\d,\d\d$""),VALUE(Q152),0)"),0)</f>
        <v>0</v>
      </c>
      <c r="S152" s="21"/>
      <c r="T152" s="22"/>
    </row>
    <row r="153" spans="1:20" ht="13.2" x14ac:dyDescent="0.25">
      <c r="A153" s="17"/>
      <c r="B153" s="28">
        <v>5</v>
      </c>
      <c r="C153" s="29"/>
      <c r="D153" s="30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2"/>
      <c r="R153" s="33">
        <f ca="1">IFERROR(__xludf.DUMMYFUNCTION("IF(REGEXMATCH(Q153,""^\d,\d\d$""),VALUE(Q153),0)"),0)</f>
        <v>0</v>
      </c>
      <c r="S153" s="21"/>
      <c r="T153" s="22"/>
    </row>
    <row r="154" spans="1:20" ht="13.2" x14ac:dyDescent="0.25">
      <c r="A154" s="17"/>
      <c r="B154" s="35" t="s">
        <v>18</v>
      </c>
      <c r="C154" s="36"/>
      <c r="D154" s="44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9"/>
      <c r="R154" s="40"/>
      <c r="S154" s="21"/>
      <c r="T154" s="22"/>
    </row>
    <row r="155" spans="1:20" ht="13.2" x14ac:dyDescent="0.25">
      <c r="A155" s="17"/>
      <c r="B155" s="17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9"/>
      <c r="R155" s="20"/>
      <c r="S155" s="21"/>
      <c r="T155" s="22"/>
    </row>
    <row r="156" spans="1:20" ht="15.6" x14ac:dyDescent="0.25">
      <c r="A156" s="23">
        <v>20</v>
      </c>
      <c r="B156" s="97" t="s">
        <v>67</v>
      </c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9"/>
      <c r="R156" s="24"/>
      <c r="S156" s="25">
        <f ca="1">IF(COUNTIFS(R157:R161,"&gt;0") &gt; 3, FLOOR((SUM(R157:R161)-MIN(R157,R158,R159,R160,R161))/4,0.0001), )</f>
        <v>0</v>
      </c>
      <c r="T156" s="26" t="str">
        <f ca="1">IF(S156=0,"",RANK(S156,$S$4:$S$224,))</f>
        <v/>
      </c>
    </row>
    <row r="157" spans="1:20" ht="13.2" x14ac:dyDescent="0.25">
      <c r="A157" s="17"/>
      <c r="B157" s="28">
        <v>1</v>
      </c>
      <c r="C157" s="29"/>
      <c r="D157" s="30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2"/>
      <c r="R157" s="33">
        <f ca="1">IFERROR(__xludf.DUMMYFUNCTION("IF(REGEXMATCH(Q157,""^\d,\d\d$""),VALUE(Q157),0)"),0)</f>
        <v>0</v>
      </c>
      <c r="S157" s="21"/>
      <c r="T157" s="22"/>
    </row>
    <row r="158" spans="1:20" ht="13.2" x14ac:dyDescent="0.25">
      <c r="A158" s="17"/>
      <c r="B158" s="28">
        <v>2</v>
      </c>
      <c r="C158" s="29"/>
      <c r="D158" s="30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2"/>
      <c r="R158" s="33">
        <f ca="1">IFERROR(__xludf.DUMMYFUNCTION("IF(REGEXMATCH(Q158,""^\d,\d\d$""),VALUE(Q158),0)"),0)</f>
        <v>0</v>
      </c>
      <c r="S158" s="21"/>
      <c r="T158" s="22"/>
    </row>
    <row r="159" spans="1:20" ht="13.2" x14ac:dyDescent="0.25">
      <c r="A159" s="17"/>
      <c r="B159" s="28">
        <v>3</v>
      </c>
      <c r="C159" s="29"/>
      <c r="D159" s="30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2"/>
      <c r="R159" s="33">
        <f ca="1">IFERROR(__xludf.DUMMYFUNCTION("IF(REGEXMATCH(Q159,""^\d,\d\d$""),VALUE(Q159),0)"),0)</f>
        <v>0</v>
      </c>
      <c r="S159" s="21"/>
      <c r="T159" s="22"/>
    </row>
    <row r="160" spans="1:20" ht="13.2" x14ac:dyDescent="0.25">
      <c r="A160" s="17"/>
      <c r="B160" s="28">
        <v>4</v>
      </c>
      <c r="C160" s="29"/>
      <c r="D160" s="30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2"/>
      <c r="R160" s="33">
        <f ca="1">IFERROR(__xludf.DUMMYFUNCTION("IF(REGEXMATCH(Q160,""^\d,\d\d$""),VALUE(Q160),0)"),0)</f>
        <v>0</v>
      </c>
      <c r="S160" s="21"/>
      <c r="T160" s="22"/>
    </row>
    <row r="161" spans="1:20" ht="13.2" x14ac:dyDescent="0.25">
      <c r="A161" s="17"/>
      <c r="B161" s="28">
        <v>5</v>
      </c>
      <c r="C161" s="29"/>
      <c r="D161" s="30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2"/>
      <c r="R161" s="33">
        <f ca="1">IFERROR(__xludf.DUMMYFUNCTION("IF(REGEXMATCH(Q161,""^\d,\d\d$""),VALUE(Q161),0)"),0)</f>
        <v>0</v>
      </c>
      <c r="S161" s="21"/>
      <c r="T161" s="22"/>
    </row>
    <row r="162" spans="1:20" ht="13.2" x14ac:dyDescent="0.25">
      <c r="A162" s="17"/>
      <c r="B162" s="35" t="s">
        <v>18</v>
      </c>
      <c r="C162" s="36"/>
      <c r="D162" s="44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9"/>
      <c r="R162" s="40"/>
      <c r="S162" s="21"/>
      <c r="T162" s="22"/>
    </row>
    <row r="163" spans="1:20" ht="13.2" x14ac:dyDescent="0.25">
      <c r="A163" s="17"/>
      <c r="B163" s="17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9"/>
      <c r="R163" s="20"/>
      <c r="S163" s="21"/>
      <c r="T163" s="22"/>
    </row>
    <row r="164" spans="1:20" ht="15.6" x14ac:dyDescent="0.25">
      <c r="A164" s="23">
        <v>21</v>
      </c>
      <c r="B164" s="97" t="s">
        <v>68</v>
      </c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9"/>
      <c r="R164" s="24"/>
      <c r="S164" s="25">
        <f ca="1">IF(COUNTIFS(R165:R169,"&gt;0") &gt; 3, FLOOR((SUM(R165:R169)-MIN(R165,R166,R167,R168,R169))/4,0.0001), )</f>
        <v>0</v>
      </c>
      <c r="T164" s="26" t="str">
        <f ca="1">IF(S164=0,"",RANK(S164,$S$4:$S$224,))</f>
        <v/>
      </c>
    </row>
    <row r="165" spans="1:20" ht="13.2" x14ac:dyDescent="0.25">
      <c r="A165" s="17"/>
      <c r="B165" s="28">
        <v>1</v>
      </c>
      <c r="C165" s="29"/>
      <c r="D165" s="30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2"/>
      <c r="R165" s="33">
        <f ca="1">IFERROR(__xludf.DUMMYFUNCTION("IF(REGEXMATCH(Q165,""^\d,\d\d$""),VALUE(Q165),0)"),0)</f>
        <v>0</v>
      </c>
      <c r="S165" s="21"/>
      <c r="T165" s="22"/>
    </row>
    <row r="166" spans="1:20" ht="13.2" x14ac:dyDescent="0.25">
      <c r="A166" s="17"/>
      <c r="B166" s="28">
        <v>2</v>
      </c>
      <c r="C166" s="29"/>
      <c r="D166" s="30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2"/>
      <c r="R166" s="33">
        <f ca="1">IFERROR(__xludf.DUMMYFUNCTION("IF(REGEXMATCH(Q166,""^\d,\d\d$""),VALUE(Q166),0)"),0)</f>
        <v>0</v>
      </c>
      <c r="S166" s="21"/>
      <c r="T166" s="22"/>
    </row>
    <row r="167" spans="1:20" ht="13.2" x14ac:dyDescent="0.25">
      <c r="A167" s="17"/>
      <c r="B167" s="28">
        <v>3</v>
      </c>
      <c r="C167" s="29"/>
      <c r="D167" s="30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2"/>
      <c r="R167" s="33">
        <f ca="1">IFERROR(__xludf.DUMMYFUNCTION("IF(REGEXMATCH(Q167,""^\d,\d\d$""),VALUE(Q167),0)"),0)</f>
        <v>0</v>
      </c>
      <c r="S167" s="21"/>
      <c r="T167" s="22"/>
    </row>
    <row r="168" spans="1:20" ht="13.2" x14ac:dyDescent="0.25">
      <c r="A168" s="17"/>
      <c r="B168" s="28">
        <v>4</v>
      </c>
      <c r="C168" s="29"/>
      <c r="D168" s="30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2"/>
      <c r="R168" s="33">
        <f ca="1">IFERROR(__xludf.DUMMYFUNCTION("IF(REGEXMATCH(Q168,""^\d,\d\d$""),VALUE(Q168),0)"),0)</f>
        <v>0</v>
      </c>
      <c r="S168" s="21"/>
      <c r="T168" s="22"/>
    </row>
    <row r="169" spans="1:20" ht="13.2" x14ac:dyDescent="0.25">
      <c r="A169" s="17"/>
      <c r="B169" s="28">
        <v>5</v>
      </c>
      <c r="C169" s="29"/>
      <c r="D169" s="30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2"/>
      <c r="R169" s="33">
        <f ca="1">IFERROR(__xludf.DUMMYFUNCTION("IF(REGEXMATCH(Q169,""^\d,\d\d$""),VALUE(Q169),0)"),0)</f>
        <v>0</v>
      </c>
      <c r="S169" s="21"/>
      <c r="T169" s="22"/>
    </row>
    <row r="170" spans="1:20" ht="13.2" x14ac:dyDescent="0.25">
      <c r="A170" s="17"/>
      <c r="B170" s="35" t="s">
        <v>18</v>
      </c>
      <c r="C170" s="36"/>
      <c r="D170" s="44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9"/>
      <c r="R170" s="40"/>
      <c r="S170" s="21"/>
      <c r="T170" s="22"/>
    </row>
    <row r="171" spans="1:20" ht="13.2" x14ac:dyDescent="0.25">
      <c r="A171" s="17"/>
      <c r="B171" s="17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9"/>
      <c r="R171" s="20"/>
      <c r="S171" s="21"/>
      <c r="T171" s="22"/>
    </row>
    <row r="172" spans="1:20" ht="15.6" x14ac:dyDescent="0.25">
      <c r="A172" s="46">
        <v>22</v>
      </c>
      <c r="B172" s="97" t="s">
        <v>69</v>
      </c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9"/>
      <c r="R172" s="24"/>
      <c r="S172" s="25">
        <f ca="1">IF(COUNTIFS(R173:R177,"&gt;0") &gt; 3, FLOOR((SUM(R173:R177)-MIN(R173,R174,R175,R176,R177))/4,0.0001), )</f>
        <v>0</v>
      </c>
      <c r="T172" s="26" t="str">
        <f ca="1">IF(S172=0,"",RANK(S172,$S$4:$S$224,))</f>
        <v/>
      </c>
    </row>
    <row r="173" spans="1:20" ht="13.2" x14ac:dyDescent="0.25">
      <c r="A173" s="52"/>
      <c r="B173" s="48">
        <v>1</v>
      </c>
      <c r="C173" s="49"/>
      <c r="D173" s="50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2"/>
      <c r="R173" s="33">
        <f ca="1">IFERROR(__xludf.DUMMYFUNCTION("IF(REGEXMATCH(Q173,""^\d,\d\d$""),VALUE(Q173),0)"),0)</f>
        <v>0</v>
      </c>
      <c r="S173" s="51"/>
      <c r="T173" s="52"/>
    </row>
    <row r="174" spans="1:20" ht="13.2" x14ac:dyDescent="0.25">
      <c r="A174" s="52"/>
      <c r="B174" s="48">
        <v>2</v>
      </c>
      <c r="C174" s="49"/>
      <c r="D174" s="50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2"/>
      <c r="R174" s="33">
        <f ca="1">IFERROR(__xludf.DUMMYFUNCTION("IF(REGEXMATCH(Q174,""^\d,\d\d$""),VALUE(Q174),0)"),0)</f>
        <v>0</v>
      </c>
      <c r="S174" s="51"/>
      <c r="T174" s="52"/>
    </row>
    <row r="175" spans="1:20" ht="13.2" x14ac:dyDescent="0.25">
      <c r="A175" s="52"/>
      <c r="B175" s="48">
        <v>3</v>
      </c>
      <c r="C175" s="49"/>
      <c r="D175" s="50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2"/>
      <c r="R175" s="33">
        <f ca="1">IFERROR(__xludf.DUMMYFUNCTION("IF(REGEXMATCH(Q175,""^\d,\d\d$""),VALUE(Q175),0)"),0)</f>
        <v>0</v>
      </c>
      <c r="S175" s="51"/>
      <c r="T175" s="52"/>
    </row>
    <row r="176" spans="1:20" ht="13.2" x14ac:dyDescent="0.25">
      <c r="A176" s="52"/>
      <c r="B176" s="48">
        <v>4</v>
      </c>
      <c r="C176" s="49"/>
      <c r="D176" s="50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2"/>
      <c r="R176" s="33">
        <f ca="1">IFERROR(__xludf.DUMMYFUNCTION("IF(REGEXMATCH(Q176,""^\d,\d\d$""),VALUE(Q176),0)"),0)</f>
        <v>0</v>
      </c>
      <c r="S176" s="51"/>
      <c r="T176" s="52"/>
    </row>
    <row r="177" spans="1:20" ht="13.2" x14ac:dyDescent="0.25">
      <c r="A177" s="52"/>
      <c r="B177" s="48">
        <v>5</v>
      </c>
      <c r="C177" s="49"/>
      <c r="D177" s="50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2"/>
      <c r="R177" s="33">
        <f ca="1">IFERROR(__xludf.DUMMYFUNCTION("IF(REGEXMATCH(Q177,""^\d,\d\d$""),VALUE(Q177),0)"),0)</f>
        <v>0</v>
      </c>
      <c r="S177" s="51"/>
      <c r="T177" s="52"/>
    </row>
    <row r="178" spans="1:20" ht="13.2" x14ac:dyDescent="0.25">
      <c r="A178" s="52"/>
      <c r="B178" s="35" t="s">
        <v>18</v>
      </c>
      <c r="C178" s="36"/>
      <c r="D178" s="44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9"/>
      <c r="R178" s="40"/>
      <c r="S178" s="51"/>
      <c r="T178" s="52"/>
    </row>
    <row r="179" spans="1:20" ht="13.2" x14ac:dyDescent="0.25">
      <c r="A179" s="52"/>
      <c r="B179" s="52"/>
      <c r="C179" s="52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4"/>
      <c r="S179" s="51"/>
      <c r="T179" s="52"/>
    </row>
    <row r="180" spans="1:20" ht="15.6" x14ac:dyDescent="0.25">
      <c r="A180" s="46">
        <v>23</v>
      </c>
      <c r="B180" s="97" t="s">
        <v>70</v>
      </c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9"/>
      <c r="R180" s="24"/>
      <c r="S180" s="25">
        <f ca="1">IF(COUNTIFS(R181:R185,"&gt;0") &gt; 3, FLOOR((SUM(R181:R185)-MIN(R181,R182,R183,R184,R185))/4,0.0001), )</f>
        <v>0</v>
      </c>
      <c r="T180" s="26" t="str">
        <f ca="1">IF(S180=0,"",RANK(S180,$S$4:$S$224,))</f>
        <v/>
      </c>
    </row>
    <row r="181" spans="1:20" ht="13.2" x14ac:dyDescent="0.25">
      <c r="A181" s="52"/>
      <c r="B181" s="48">
        <v>1</v>
      </c>
      <c r="C181" s="49"/>
      <c r="D181" s="50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2"/>
      <c r="R181" s="33">
        <f ca="1">IFERROR(__xludf.DUMMYFUNCTION("IF(REGEXMATCH(Q181,""^\d,\d\d$""),VALUE(Q181),0)"),0)</f>
        <v>0</v>
      </c>
      <c r="S181" s="51"/>
      <c r="T181" s="52"/>
    </row>
    <row r="182" spans="1:20" ht="13.2" x14ac:dyDescent="0.25">
      <c r="A182" s="52"/>
      <c r="B182" s="48">
        <v>2</v>
      </c>
      <c r="C182" s="49"/>
      <c r="D182" s="50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2"/>
      <c r="R182" s="33">
        <f ca="1">IFERROR(__xludf.DUMMYFUNCTION("IF(REGEXMATCH(Q182,""^\d,\d\d$""),VALUE(Q182),0)"),0)</f>
        <v>0</v>
      </c>
      <c r="S182" s="51"/>
      <c r="T182" s="52"/>
    </row>
    <row r="183" spans="1:20" ht="13.2" x14ac:dyDescent="0.25">
      <c r="A183" s="52"/>
      <c r="B183" s="48">
        <v>3</v>
      </c>
      <c r="C183" s="49"/>
      <c r="D183" s="50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2"/>
      <c r="R183" s="33">
        <f ca="1">IFERROR(__xludf.DUMMYFUNCTION("IF(REGEXMATCH(Q183,""^\d,\d\d$""),VALUE(Q183),0)"),0)</f>
        <v>0</v>
      </c>
      <c r="S183" s="51"/>
      <c r="T183" s="52"/>
    </row>
    <row r="184" spans="1:20" ht="13.2" x14ac:dyDescent="0.25">
      <c r="A184" s="52"/>
      <c r="B184" s="48">
        <v>4</v>
      </c>
      <c r="C184" s="49"/>
      <c r="D184" s="50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2"/>
      <c r="R184" s="33">
        <f ca="1">IFERROR(__xludf.DUMMYFUNCTION("IF(REGEXMATCH(Q184,""^\d,\d\d$""),VALUE(Q184),0)"),0)</f>
        <v>0</v>
      </c>
      <c r="S184" s="51"/>
      <c r="T184" s="52"/>
    </row>
    <row r="185" spans="1:20" ht="13.2" x14ac:dyDescent="0.25">
      <c r="A185" s="52"/>
      <c r="B185" s="48">
        <v>5</v>
      </c>
      <c r="C185" s="49"/>
      <c r="D185" s="50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2"/>
      <c r="R185" s="33">
        <f ca="1">IFERROR(__xludf.DUMMYFUNCTION("IF(REGEXMATCH(Q185,""^\d,\d\d$""),VALUE(Q185),0)"),0)</f>
        <v>0</v>
      </c>
      <c r="S185" s="51"/>
      <c r="T185" s="52"/>
    </row>
    <row r="186" spans="1:20" ht="13.2" x14ac:dyDescent="0.25">
      <c r="A186" s="52"/>
      <c r="B186" s="35" t="s">
        <v>18</v>
      </c>
      <c r="C186" s="36"/>
      <c r="D186" s="44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9"/>
      <c r="R186" s="40"/>
      <c r="S186" s="51"/>
      <c r="T186" s="52"/>
    </row>
    <row r="187" spans="1:20" ht="13.2" x14ac:dyDescent="0.25">
      <c r="A187" s="52"/>
      <c r="B187" s="52"/>
      <c r="C187" s="52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4"/>
      <c r="S187" s="51"/>
      <c r="T187" s="52"/>
    </row>
    <row r="188" spans="1:20" ht="15.6" x14ac:dyDescent="0.25">
      <c r="A188" s="46">
        <v>24</v>
      </c>
      <c r="B188" s="97" t="s">
        <v>71</v>
      </c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9"/>
      <c r="R188" s="24"/>
      <c r="S188" s="25">
        <f ca="1">IF(COUNTIFS(R189:R193,"&gt;0") &gt; 3, FLOOR((SUM(R189:R193)-MIN(R189,R190,R191,R192,R193))/4,0.0001), )</f>
        <v>0</v>
      </c>
      <c r="T188" s="26" t="str">
        <f ca="1">IF(S188=0,"",RANK(S188,$S$4:$S$224,))</f>
        <v/>
      </c>
    </row>
    <row r="189" spans="1:20" ht="13.2" x14ac:dyDescent="0.25">
      <c r="A189" s="52"/>
      <c r="B189" s="48">
        <v>1</v>
      </c>
      <c r="C189" s="49"/>
      <c r="D189" s="50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2"/>
      <c r="R189" s="33">
        <f ca="1">IFERROR(__xludf.DUMMYFUNCTION("IF(REGEXMATCH(Q189,""^\d,\d\d$""),VALUE(Q189),0)"),0)</f>
        <v>0</v>
      </c>
      <c r="S189" s="51"/>
      <c r="T189" s="52"/>
    </row>
    <row r="190" spans="1:20" ht="13.2" x14ac:dyDescent="0.25">
      <c r="A190" s="52"/>
      <c r="B190" s="48">
        <v>2</v>
      </c>
      <c r="C190" s="49"/>
      <c r="D190" s="50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2"/>
      <c r="R190" s="33">
        <f ca="1">IFERROR(__xludf.DUMMYFUNCTION("IF(REGEXMATCH(Q190,""^\d,\d\d$""),VALUE(Q190),0)"),0)</f>
        <v>0</v>
      </c>
      <c r="S190" s="51"/>
      <c r="T190" s="52"/>
    </row>
    <row r="191" spans="1:20" ht="13.2" x14ac:dyDescent="0.25">
      <c r="A191" s="52"/>
      <c r="B191" s="48">
        <v>3</v>
      </c>
      <c r="C191" s="49"/>
      <c r="D191" s="50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2"/>
      <c r="R191" s="33">
        <f ca="1">IFERROR(__xludf.DUMMYFUNCTION("IF(REGEXMATCH(Q191,""^\d,\d\d$""),VALUE(Q191),0)"),0)</f>
        <v>0</v>
      </c>
      <c r="S191" s="51"/>
      <c r="T191" s="52"/>
    </row>
    <row r="192" spans="1:20" ht="13.2" x14ac:dyDescent="0.25">
      <c r="A192" s="52"/>
      <c r="B192" s="48">
        <v>4</v>
      </c>
      <c r="C192" s="49"/>
      <c r="D192" s="50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2"/>
      <c r="R192" s="33">
        <f ca="1">IFERROR(__xludf.DUMMYFUNCTION("IF(REGEXMATCH(Q192,""^\d,\d\d$""),VALUE(Q192),0)"),0)</f>
        <v>0</v>
      </c>
      <c r="S192" s="51"/>
      <c r="T192" s="52"/>
    </row>
    <row r="193" spans="1:20" ht="13.2" x14ac:dyDescent="0.25">
      <c r="A193" s="52"/>
      <c r="B193" s="48">
        <v>5</v>
      </c>
      <c r="C193" s="49"/>
      <c r="D193" s="50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2"/>
      <c r="R193" s="33">
        <f ca="1">IFERROR(__xludf.DUMMYFUNCTION("IF(REGEXMATCH(Q193,""^\d,\d\d$""),VALUE(Q193),0)"),0)</f>
        <v>0</v>
      </c>
      <c r="S193" s="51"/>
      <c r="T193" s="52"/>
    </row>
    <row r="194" spans="1:20" ht="13.2" x14ac:dyDescent="0.25">
      <c r="A194" s="52"/>
      <c r="B194" s="35" t="s">
        <v>18</v>
      </c>
      <c r="C194" s="36"/>
      <c r="D194" s="44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9"/>
      <c r="R194" s="40"/>
      <c r="S194" s="51"/>
      <c r="T194" s="52"/>
    </row>
    <row r="195" spans="1:20" ht="13.2" x14ac:dyDescent="0.25">
      <c r="A195" s="52"/>
      <c r="B195" s="52"/>
      <c r="C195" s="52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4"/>
      <c r="S195" s="51"/>
      <c r="T195" s="52"/>
    </row>
    <row r="196" spans="1:20" ht="15.6" x14ac:dyDescent="0.25">
      <c r="A196" s="46">
        <v>25</v>
      </c>
      <c r="B196" s="97" t="s">
        <v>72</v>
      </c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9"/>
      <c r="R196" s="24"/>
      <c r="S196" s="25">
        <f ca="1">IF(COUNTIFS(R197:R201,"&gt;0") &gt; 3, FLOOR((SUM(R197:R201)-MIN(R197,R198,R199,R200,R201))/4,0.0001), )</f>
        <v>0</v>
      </c>
      <c r="T196" s="26" t="str">
        <f ca="1">IF(S196=0,"",RANK(S196,$S$4:$S$224,))</f>
        <v/>
      </c>
    </row>
    <row r="197" spans="1:20" ht="13.2" x14ac:dyDescent="0.25">
      <c r="A197" s="52"/>
      <c r="B197" s="48">
        <v>1</v>
      </c>
      <c r="C197" s="49"/>
      <c r="D197" s="50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2"/>
      <c r="R197" s="33">
        <f ca="1">IFERROR(__xludf.DUMMYFUNCTION("IF(REGEXMATCH(Q197,""^\d,\d\d$""),VALUE(Q197),0)"),0)</f>
        <v>0</v>
      </c>
      <c r="S197" s="51"/>
      <c r="T197" s="52"/>
    </row>
    <row r="198" spans="1:20" ht="13.2" x14ac:dyDescent="0.25">
      <c r="A198" s="52"/>
      <c r="B198" s="48">
        <v>2</v>
      </c>
      <c r="C198" s="49"/>
      <c r="D198" s="50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2"/>
      <c r="R198" s="33">
        <f ca="1">IFERROR(__xludf.DUMMYFUNCTION("IF(REGEXMATCH(Q198,""^\d,\d\d$""),VALUE(Q198),0)"),0)</f>
        <v>0</v>
      </c>
      <c r="S198" s="51"/>
      <c r="T198" s="52"/>
    </row>
    <row r="199" spans="1:20" ht="13.2" x14ac:dyDescent="0.25">
      <c r="A199" s="52"/>
      <c r="B199" s="48">
        <v>3</v>
      </c>
      <c r="C199" s="49"/>
      <c r="D199" s="50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2"/>
      <c r="R199" s="33">
        <f ca="1">IFERROR(__xludf.DUMMYFUNCTION("IF(REGEXMATCH(Q199,""^\d,\d\d$""),VALUE(Q199),0)"),0)</f>
        <v>0</v>
      </c>
      <c r="S199" s="51"/>
      <c r="T199" s="52"/>
    </row>
    <row r="200" spans="1:20" ht="13.2" x14ac:dyDescent="0.25">
      <c r="A200" s="52"/>
      <c r="B200" s="48">
        <v>4</v>
      </c>
      <c r="C200" s="49"/>
      <c r="D200" s="50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2"/>
      <c r="R200" s="33">
        <f ca="1">IFERROR(__xludf.DUMMYFUNCTION("IF(REGEXMATCH(Q200,""^\d,\d\d$""),VALUE(Q200),0)"),0)</f>
        <v>0</v>
      </c>
      <c r="S200" s="51"/>
      <c r="T200" s="52"/>
    </row>
    <row r="201" spans="1:20" ht="13.2" x14ac:dyDescent="0.25">
      <c r="A201" s="52"/>
      <c r="B201" s="48">
        <v>5</v>
      </c>
      <c r="C201" s="49"/>
      <c r="D201" s="50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2"/>
      <c r="R201" s="33">
        <f ca="1">IFERROR(__xludf.DUMMYFUNCTION("IF(REGEXMATCH(Q201,""^\d,\d\d$""),VALUE(Q201),0)"),0)</f>
        <v>0</v>
      </c>
      <c r="S201" s="51"/>
      <c r="T201" s="52"/>
    </row>
    <row r="202" spans="1:20" ht="13.2" x14ac:dyDescent="0.25">
      <c r="A202" s="52"/>
      <c r="B202" s="35" t="s">
        <v>18</v>
      </c>
      <c r="C202" s="36"/>
      <c r="D202" s="44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9"/>
      <c r="R202" s="40"/>
      <c r="S202" s="51"/>
      <c r="T202" s="52"/>
    </row>
    <row r="203" spans="1:20" ht="13.2" x14ac:dyDescent="0.25">
      <c r="A203" s="17"/>
      <c r="B203" s="17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9"/>
      <c r="R203" s="20"/>
      <c r="S203" s="21"/>
      <c r="T203" s="22"/>
    </row>
    <row r="204" spans="1:20" ht="13.2" x14ac:dyDescent="0.25">
      <c r="A204" s="17"/>
      <c r="B204" s="17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9"/>
      <c r="R204" s="20"/>
      <c r="S204" s="21"/>
      <c r="T204" s="22"/>
    </row>
    <row r="205" spans="1:20" ht="13.2" x14ac:dyDescent="0.25">
      <c r="A205" s="17"/>
      <c r="B205" s="17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9"/>
      <c r="R205" s="20"/>
      <c r="S205" s="21"/>
      <c r="T205" s="22"/>
    </row>
    <row r="206" spans="1:20" ht="13.2" x14ac:dyDescent="0.25">
      <c r="A206" s="17"/>
      <c r="B206" s="17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9"/>
      <c r="R206" s="20"/>
      <c r="S206" s="21"/>
      <c r="T206" s="22"/>
    </row>
    <row r="207" spans="1:20" ht="13.2" x14ac:dyDescent="0.25">
      <c r="A207" s="17"/>
      <c r="B207" s="17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9"/>
      <c r="R207" s="20"/>
      <c r="S207" s="21"/>
      <c r="T207" s="22"/>
    </row>
    <row r="208" spans="1:20" ht="13.2" x14ac:dyDescent="0.25">
      <c r="A208" s="17"/>
      <c r="B208" s="17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9"/>
      <c r="R208" s="20"/>
      <c r="S208" s="21"/>
      <c r="T208" s="22"/>
    </row>
    <row r="209" spans="1:20" ht="13.2" x14ac:dyDescent="0.25">
      <c r="A209" s="17"/>
      <c r="B209" s="17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9"/>
      <c r="R209" s="20"/>
      <c r="S209" s="21"/>
      <c r="T209" s="22"/>
    </row>
    <row r="210" spans="1:20" ht="13.2" x14ac:dyDescent="0.25">
      <c r="A210" s="17"/>
      <c r="B210" s="17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9"/>
      <c r="R210" s="20"/>
      <c r="S210" s="21"/>
      <c r="T210" s="22"/>
    </row>
    <row r="211" spans="1:20" ht="13.2" x14ac:dyDescent="0.25">
      <c r="A211" s="17"/>
      <c r="B211" s="17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9"/>
      <c r="R211" s="20"/>
      <c r="S211" s="21"/>
      <c r="T211" s="22"/>
    </row>
    <row r="212" spans="1:20" ht="13.2" x14ac:dyDescent="0.25">
      <c r="A212" s="17"/>
      <c r="B212" s="17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9"/>
      <c r="R212" s="20"/>
      <c r="S212" s="21"/>
      <c r="T212" s="22"/>
    </row>
    <row r="213" spans="1:20" ht="13.2" x14ac:dyDescent="0.25">
      <c r="A213" s="17"/>
      <c r="B213" s="17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9"/>
      <c r="R213" s="20"/>
      <c r="S213" s="21"/>
      <c r="T213" s="22"/>
    </row>
    <row r="214" spans="1:20" ht="13.2" x14ac:dyDescent="0.25">
      <c r="A214" s="17"/>
      <c r="B214" s="17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9"/>
      <c r="R214" s="20"/>
      <c r="S214" s="21"/>
      <c r="T214" s="22"/>
    </row>
    <row r="215" spans="1:20" ht="13.2" x14ac:dyDescent="0.25">
      <c r="A215" s="17"/>
      <c r="B215" s="17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9"/>
      <c r="R215" s="20"/>
      <c r="S215" s="21"/>
      <c r="T215" s="22"/>
    </row>
    <row r="216" spans="1:20" ht="13.2" x14ac:dyDescent="0.25">
      <c r="A216" s="17"/>
      <c r="B216" s="17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9"/>
      <c r="R216" s="20"/>
      <c r="S216" s="21"/>
      <c r="T216" s="22"/>
    </row>
    <row r="217" spans="1:20" ht="13.2" x14ac:dyDescent="0.25">
      <c r="A217" s="17"/>
      <c r="B217" s="17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9"/>
      <c r="R217" s="20"/>
      <c r="S217" s="21"/>
      <c r="T217" s="22"/>
    </row>
    <row r="218" spans="1:20" ht="13.2" x14ac:dyDescent="0.25">
      <c r="A218" s="17"/>
      <c r="B218" s="17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9"/>
      <c r="R218" s="20"/>
      <c r="S218" s="21"/>
      <c r="T218" s="22"/>
    </row>
    <row r="219" spans="1:20" ht="13.2" x14ac:dyDescent="0.25">
      <c r="A219" s="17"/>
      <c r="B219" s="17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9"/>
      <c r="R219" s="20"/>
      <c r="S219" s="21"/>
      <c r="T219" s="22"/>
    </row>
    <row r="220" spans="1:20" ht="13.2" x14ac:dyDescent="0.25">
      <c r="A220" s="17"/>
      <c r="B220" s="17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9"/>
      <c r="R220" s="20"/>
      <c r="S220" s="21"/>
      <c r="T220" s="22"/>
    </row>
    <row r="221" spans="1:20" ht="13.2" x14ac:dyDescent="0.25">
      <c r="A221" s="17"/>
      <c r="B221" s="17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9"/>
      <c r="R221" s="20"/>
      <c r="S221" s="21"/>
      <c r="T221" s="22"/>
    </row>
    <row r="222" spans="1:20" ht="13.2" x14ac:dyDescent="0.25">
      <c r="A222" s="17"/>
      <c r="B222" s="17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9"/>
      <c r="R222" s="20"/>
      <c r="S222" s="21"/>
      <c r="T222" s="22"/>
    </row>
    <row r="223" spans="1:20" ht="13.2" x14ac:dyDescent="0.25">
      <c r="A223" s="17"/>
      <c r="B223" s="17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9"/>
      <c r="R223" s="20"/>
      <c r="S223" s="21"/>
      <c r="T223" s="22"/>
    </row>
    <row r="224" spans="1:20" ht="13.2" x14ac:dyDescent="0.25">
      <c r="A224" s="17"/>
      <c r="B224" s="17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9"/>
      <c r="R224" s="20"/>
      <c r="S224" s="21"/>
      <c r="T224" s="22"/>
    </row>
    <row r="225" spans="1:20" ht="13.2" x14ac:dyDescent="0.25">
      <c r="A225" s="17"/>
      <c r="B225" s="17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9"/>
      <c r="R225" s="20"/>
      <c r="S225" s="21"/>
      <c r="T225" s="22"/>
    </row>
    <row r="226" spans="1:20" ht="13.2" x14ac:dyDescent="0.25">
      <c r="A226" s="17"/>
      <c r="B226" s="17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9"/>
      <c r="R226" s="20"/>
      <c r="S226" s="21"/>
      <c r="T226" s="22"/>
    </row>
    <row r="227" spans="1:20" ht="13.2" x14ac:dyDescent="0.25">
      <c r="A227" s="17"/>
      <c r="B227" s="17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9"/>
      <c r="R227" s="20"/>
      <c r="S227" s="21"/>
      <c r="T227" s="22"/>
    </row>
    <row r="228" spans="1:20" ht="13.2" x14ac:dyDescent="0.25">
      <c r="A228" s="17"/>
      <c r="B228" s="17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9"/>
      <c r="R228" s="20"/>
      <c r="S228" s="21"/>
      <c r="T228" s="22"/>
    </row>
    <row r="229" spans="1:20" ht="13.2" x14ac:dyDescent="0.25">
      <c r="A229" s="17"/>
      <c r="B229" s="17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9"/>
      <c r="R229" s="20"/>
      <c r="S229" s="21"/>
      <c r="T229" s="22"/>
    </row>
    <row r="230" spans="1:20" ht="13.2" x14ac:dyDescent="0.25">
      <c r="A230" s="17"/>
      <c r="B230" s="17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9"/>
      <c r="R230" s="20"/>
      <c r="S230" s="21"/>
      <c r="T230" s="22"/>
    </row>
    <row r="231" spans="1:20" ht="13.2" x14ac:dyDescent="0.25">
      <c r="A231" s="17"/>
      <c r="B231" s="17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9"/>
      <c r="R231" s="20"/>
      <c r="S231" s="21"/>
      <c r="T231" s="22"/>
    </row>
    <row r="232" spans="1:20" ht="13.2" x14ac:dyDescent="0.25">
      <c r="A232" s="17"/>
      <c r="B232" s="17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9"/>
      <c r="R232" s="20"/>
      <c r="S232" s="21"/>
      <c r="T232" s="22"/>
    </row>
    <row r="233" spans="1:20" ht="13.2" x14ac:dyDescent="0.25">
      <c r="A233" s="17"/>
      <c r="B233" s="17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9"/>
      <c r="R233" s="20"/>
      <c r="S233" s="21"/>
      <c r="T233" s="22"/>
    </row>
    <row r="234" spans="1:20" ht="13.2" x14ac:dyDescent="0.25">
      <c r="A234" s="17"/>
      <c r="B234" s="17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9"/>
      <c r="R234" s="20"/>
      <c r="S234" s="21"/>
      <c r="T234" s="22"/>
    </row>
    <row r="235" spans="1:20" ht="13.2" x14ac:dyDescent="0.25">
      <c r="A235" s="17"/>
      <c r="B235" s="17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9"/>
      <c r="R235" s="20"/>
      <c r="S235" s="21"/>
      <c r="T235" s="22"/>
    </row>
    <row r="236" spans="1:20" ht="13.2" x14ac:dyDescent="0.25">
      <c r="A236" s="17"/>
      <c r="B236" s="17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9"/>
      <c r="R236" s="20"/>
      <c r="S236" s="21"/>
      <c r="T236" s="22"/>
    </row>
    <row r="237" spans="1:20" ht="13.2" x14ac:dyDescent="0.25">
      <c r="A237" s="17"/>
      <c r="B237" s="17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9"/>
      <c r="R237" s="20"/>
      <c r="S237" s="21"/>
      <c r="T237" s="22"/>
    </row>
    <row r="238" spans="1:20" ht="13.2" x14ac:dyDescent="0.25">
      <c r="A238" s="17"/>
      <c r="B238" s="17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9"/>
      <c r="R238" s="20"/>
      <c r="S238" s="21"/>
      <c r="T238" s="22"/>
    </row>
    <row r="239" spans="1:20" ht="13.2" x14ac:dyDescent="0.25">
      <c r="A239" s="17"/>
      <c r="B239" s="17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9"/>
      <c r="R239" s="20"/>
      <c r="S239" s="21"/>
      <c r="T239" s="22"/>
    </row>
    <row r="240" spans="1:20" ht="13.2" x14ac:dyDescent="0.25">
      <c r="A240" s="17"/>
      <c r="B240" s="17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9"/>
      <c r="R240" s="20"/>
      <c r="S240" s="21"/>
      <c r="T240" s="22"/>
    </row>
    <row r="241" spans="1:20" ht="13.2" x14ac:dyDescent="0.25">
      <c r="A241" s="17"/>
      <c r="B241" s="17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9"/>
      <c r="R241" s="20"/>
      <c r="S241" s="21"/>
      <c r="T241" s="22"/>
    </row>
    <row r="242" spans="1:20" ht="13.2" x14ac:dyDescent="0.25">
      <c r="A242" s="17"/>
      <c r="B242" s="17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9"/>
      <c r="R242" s="20"/>
      <c r="S242" s="21"/>
      <c r="T242" s="22"/>
    </row>
    <row r="243" spans="1:20" ht="13.2" x14ac:dyDescent="0.25">
      <c r="A243" s="17"/>
      <c r="B243" s="17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9"/>
      <c r="R243" s="20"/>
      <c r="S243" s="21"/>
      <c r="T243" s="22"/>
    </row>
    <row r="244" spans="1:20" ht="13.2" x14ac:dyDescent="0.25">
      <c r="A244" s="17"/>
      <c r="B244" s="17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9"/>
      <c r="R244" s="20"/>
      <c r="S244" s="21"/>
      <c r="T244" s="22"/>
    </row>
    <row r="245" spans="1:20" ht="13.2" x14ac:dyDescent="0.25">
      <c r="A245" s="17"/>
      <c r="B245" s="17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9"/>
      <c r="R245" s="20"/>
      <c r="S245" s="21"/>
      <c r="T245" s="22"/>
    </row>
    <row r="246" spans="1:20" ht="13.2" x14ac:dyDescent="0.25">
      <c r="A246" s="17"/>
      <c r="B246" s="17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9"/>
      <c r="R246" s="20"/>
      <c r="S246" s="21"/>
      <c r="T246" s="22"/>
    </row>
    <row r="247" spans="1:20" ht="13.2" x14ac:dyDescent="0.25">
      <c r="A247" s="17"/>
      <c r="B247" s="17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9"/>
      <c r="R247" s="20"/>
      <c r="S247" s="21"/>
      <c r="T247" s="22"/>
    </row>
    <row r="248" spans="1:20" ht="13.2" x14ac:dyDescent="0.25">
      <c r="A248" s="17"/>
      <c r="B248" s="17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9"/>
      <c r="R248" s="20"/>
      <c r="S248" s="21"/>
      <c r="T248" s="22"/>
    </row>
    <row r="249" spans="1:20" ht="13.2" x14ac:dyDescent="0.25">
      <c r="A249" s="17"/>
      <c r="B249" s="17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9"/>
      <c r="R249" s="20"/>
      <c r="S249" s="21"/>
      <c r="T249" s="22"/>
    </row>
    <row r="250" spans="1:20" ht="13.2" x14ac:dyDescent="0.25">
      <c r="A250" s="17"/>
      <c r="B250" s="17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9"/>
      <c r="R250" s="20"/>
      <c r="S250" s="21"/>
      <c r="T250" s="22"/>
    </row>
    <row r="251" spans="1:20" ht="13.2" x14ac:dyDescent="0.25">
      <c r="A251" s="17"/>
      <c r="B251" s="17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9"/>
      <c r="R251" s="20"/>
      <c r="S251" s="21"/>
      <c r="T251" s="22"/>
    </row>
    <row r="252" spans="1:20" ht="13.2" x14ac:dyDescent="0.25">
      <c r="A252" s="17"/>
      <c r="B252" s="17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9"/>
      <c r="R252" s="20"/>
      <c r="S252" s="21"/>
      <c r="T252" s="22"/>
    </row>
    <row r="253" spans="1:20" ht="13.2" x14ac:dyDescent="0.25">
      <c r="A253" s="17"/>
      <c r="B253" s="17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9"/>
      <c r="R253" s="20"/>
      <c r="S253" s="21"/>
      <c r="T253" s="22"/>
    </row>
    <row r="254" spans="1:20" ht="13.2" x14ac:dyDescent="0.25">
      <c r="A254" s="17"/>
      <c r="B254" s="17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9"/>
      <c r="R254" s="20"/>
      <c r="S254" s="21"/>
      <c r="T254" s="22"/>
    </row>
    <row r="255" spans="1:20" ht="13.2" x14ac:dyDescent="0.25">
      <c r="A255" s="17"/>
      <c r="B255" s="17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9"/>
      <c r="R255" s="20"/>
      <c r="S255" s="21"/>
      <c r="T255" s="22"/>
    </row>
    <row r="256" spans="1:20" ht="13.2" x14ac:dyDescent="0.25">
      <c r="A256" s="17"/>
      <c r="B256" s="17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9"/>
      <c r="R256" s="20"/>
      <c r="S256" s="21"/>
      <c r="T256" s="22"/>
    </row>
    <row r="257" spans="1:20" ht="13.2" x14ac:dyDescent="0.25">
      <c r="A257" s="17"/>
      <c r="B257" s="17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9"/>
      <c r="R257" s="20"/>
      <c r="S257" s="21"/>
      <c r="T257" s="22"/>
    </row>
    <row r="258" spans="1:20" ht="13.2" x14ac:dyDescent="0.25">
      <c r="A258" s="17"/>
      <c r="B258" s="17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9"/>
      <c r="R258" s="20"/>
      <c r="S258" s="21"/>
      <c r="T258" s="22"/>
    </row>
    <row r="259" spans="1:20" ht="13.2" x14ac:dyDescent="0.25">
      <c r="A259" s="17"/>
      <c r="B259" s="17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9"/>
      <c r="R259" s="20"/>
      <c r="S259" s="21"/>
      <c r="T259" s="22"/>
    </row>
    <row r="260" spans="1:20" ht="13.2" x14ac:dyDescent="0.25">
      <c r="A260" s="17"/>
      <c r="B260" s="17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9"/>
      <c r="R260" s="20"/>
      <c r="S260" s="21"/>
      <c r="T260" s="22"/>
    </row>
    <row r="261" spans="1:20" ht="13.2" x14ac:dyDescent="0.25">
      <c r="A261" s="17"/>
      <c r="B261" s="17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9"/>
      <c r="R261" s="20"/>
      <c r="S261" s="21"/>
      <c r="T261" s="22"/>
    </row>
    <row r="262" spans="1:20" ht="13.2" x14ac:dyDescent="0.25">
      <c r="A262" s="17"/>
      <c r="B262" s="17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9"/>
      <c r="R262" s="20"/>
      <c r="S262" s="21"/>
      <c r="T262" s="22"/>
    </row>
    <row r="263" spans="1:20" ht="13.2" x14ac:dyDescent="0.25">
      <c r="A263" s="17"/>
      <c r="B263" s="17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9"/>
      <c r="R263" s="20"/>
      <c r="S263" s="21"/>
      <c r="T263" s="22"/>
    </row>
    <row r="264" spans="1:20" ht="13.2" x14ac:dyDescent="0.25">
      <c r="A264" s="17"/>
      <c r="B264" s="17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9"/>
      <c r="R264" s="20"/>
      <c r="S264" s="21"/>
      <c r="T264" s="22"/>
    </row>
    <row r="265" spans="1:20" ht="13.2" x14ac:dyDescent="0.25">
      <c r="A265" s="17"/>
      <c r="B265" s="17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9"/>
      <c r="R265" s="20"/>
      <c r="S265" s="21"/>
      <c r="T265" s="22"/>
    </row>
    <row r="266" spans="1:20" ht="13.2" x14ac:dyDescent="0.25">
      <c r="A266" s="17"/>
      <c r="B266" s="17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9"/>
      <c r="R266" s="20"/>
      <c r="S266" s="21"/>
      <c r="T266" s="22"/>
    </row>
    <row r="267" spans="1:20" ht="13.2" x14ac:dyDescent="0.25">
      <c r="A267" s="17"/>
      <c r="B267" s="17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9"/>
      <c r="R267" s="20"/>
      <c r="S267" s="21"/>
      <c r="T267" s="22"/>
    </row>
    <row r="268" spans="1:20" ht="13.2" x14ac:dyDescent="0.25">
      <c r="A268" s="17"/>
      <c r="B268" s="17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9"/>
      <c r="R268" s="20"/>
      <c r="S268" s="21"/>
      <c r="T268" s="22"/>
    </row>
    <row r="269" spans="1:20" ht="13.2" x14ac:dyDescent="0.25">
      <c r="A269" s="17"/>
      <c r="B269" s="17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9"/>
      <c r="R269" s="20"/>
      <c r="S269" s="21"/>
      <c r="T269" s="22"/>
    </row>
    <row r="270" spans="1:20" ht="13.2" x14ac:dyDescent="0.25">
      <c r="A270" s="17"/>
      <c r="B270" s="17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9"/>
      <c r="R270" s="20"/>
      <c r="S270" s="21"/>
      <c r="T270" s="22"/>
    </row>
    <row r="271" spans="1:20" ht="13.2" x14ac:dyDescent="0.25">
      <c r="A271" s="17"/>
      <c r="B271" s="17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9"/>
      <c r="R271" s="20"/>
      <c r="S271" s="21"/>
      <c r="T271" s="22"/>
    </row>
    <row r="272" spans="1:20" ht="13.2" x14ac:dyDescent="0.25">
      <c r="A272" s="17"/>
      <c r="B272" s="17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9"/>
      <c r="R272" s="20"/>
      <c r="S272" s="21"/>
      <c r="T272" s="22"/>
    </row>
    <row r="273" spans="1:20" ht="13.2" x14ac:dyDescent="0.25">
      <c r="A273" s="17"/>
      <c r="B273" s="17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9"/>
      <c r="R273" s="20"/>
      <c r="S273" s="21"/>
      <c r="T273" s="22"/>
    </row>
    <row r="274" spans="1:20" ht="13.2" x14ac:dyDescent="0.25">
      <c r="A274" s="17"/>
      <c r="B274" s="17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9"/>
      <c r="R274" s="20"/>
      <c r="S274" s="21"/>
      <c r="T274" s="22"/>
    </row>
    <row r="275" spans="1:20" ht="13.2" x14ac:dyDescent="0.25">
      <c r="A275" s="17"/>
      <c r="B275" s="17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9"/>
      <c r="R275" s="20"/>
      <c r="S275" s="21"/>
      <c r="T275" s="22"/>
    </row>
    <row r="276" spans="1:20" ht="13.2" x14ac:dyDescent="0.25">
      <c r="A276" s="17"/>
      <c r="B276" s="17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9"/>
      <c r="R276" s="20"/>
      <c r="S276" s="21"/>
      <c r="T276" s="22"/>
    </row>
    <row r="277" spans="1:20" ht="13.2" x14ac:dyDescent="0.25">
      <c r="A277" s="17"/>
      <c r="B277" s="17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9"/>
      <c r="R277" s="20"/>
      <c r="S277" s="21"/>
      <c r="T277" s="22"/>
    </row>
    <row r="278" spans="1:20" ht="13.2" x14ac:dyDescent="0.25">
      <c r="A278" s="17"/>
      <c r="B278" s="17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9"/>
      <c r="R278" s="20"/>
      <c r="S278" s="21"/>
      <c r="T278" s="22"/>
    </row>
    <row r="279" spans="1:20" ht="13.2" x14ac:dyDescent="0.25">
      <c r="A279" s="17"/>
      <c r="B279" s="17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9"/>
      <c r="R279" s="20"/>
      <c r="S279" s="21"/>
      <c r="T279" s="22"/>
    </row>
    <row r="280" spans="1:20" ht="13.2" x14ac:dyDescent="0.25">
      <c r="A280" s="17"/>
      <c r="B280" s="17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9"/>
      <c r="R280" s="20"/>
      <c r="S280" s="21"/>
      <c r="T280" s="22"/>
    </row>
    <row r="281" spans="1:20" ht="13.2" x14ac:dyDescent="0.25">
      <c r="A281" s="17"/>
      <c r="B281" s="17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9"/>
      <c r="R281" s="20"/>
      <c r="S281" s="21"/>
      <c r="T281" s="22"/>
    </row>
    <row r="282" spans="1:20" ht="13.2" x14ac:dyDescent="0.25">
      <c r="A282" s="17"/>
      <c r="B282" s="17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9"/>
      <c r="R282" s="20"/>
      <c r="S282" s="21"/>
      <c r="T282" s="22"/>
    </row>
    <row r="283" spans="1:20" ht="13.2" x14ac:dyDescent="0.25">
      <c r="A283" s="17"/>
      <c r="B283" s="17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9"/>
      <c r="R283" s="20"/>
      <c r="S283" s="21"/>
      <c r="T283" s="22"/>
    </row>
    <row r="284" spans="1:20" ht="13.2" x14ac:dyDescent="0.25">
      <c r="A284" s="17"/>
      <c r="B284" s="17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9"/>
      <c r="R284" s="20"/>
      <c r="S284" s="21"/>
      <c r="T284" s="22"/>
    </row>
    <row r="285" spans="1:20" ht="13.2" x14ac:dyDescent="0.25">
      <c r="A285" s="17"/>
      <c r="B285" s="17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9"/>
      <c r="R285" s="20"/>
      <c r="S285" s="21"/>
      <c r="T285" s="22"/>
    </row>
    <row r="286" spans="1:20" ht="13.2" x14ac:dyDescent="0.25">
      <c r="A286" s="17"/>
      <c r="B286" s="17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9"/>
      <c r="R286" s="20"/>
      <c r="S286" s="21"/>
      <c r="T286" s="22"/>
    </row>
    <row r="287" spans="1:20" ht="13.2" x14ac:dyDescent="0.25">
      <c r="A287" s="17"/>
      <c r="B287" s="17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9"/>
      <c r="R287" s="20"/>
      <c r="S287" s="21"/>
      <c r="T287" s="22"/>
    </row>
    <row r="288" spans="1:20" ht="13.2" x14ac:dyDescent="0.25">
      <c r="A288" s="17"/>
      <c r="B288" s="17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9"/>
      <c r="R288" s="20"/>
      <c r="S288" s="21"/>
      <c r="T288" s="22"/>
    </row>
    <row r="289" spans="1:20" ht="13.2" x14ac:dyDescent="0.25">
      <c r="A289" s="17"/>
      <c r="B289" s="17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9"/>
      <c r="R289" s="20"/>
      <c r="S289" s="21"/>
      <c r="T289" s="22"/>
    </row>
    <row r="290" spans="1:20" ht="13.2" x14ac:dyDescent="0.25">
      <c r="A290" s="17"/>
      <c r="B290" s="17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9"/>
      <c r="R290" s="20"/>
      <c r="S290" s="21"/>
      <c r="T290" s="22"/>
    </row>
    <row r="291" spans="1:20" ht="13.2" x14ac:dyDescent="0.25">
      <c r="A291" s="17"/>
      <c r="B291" s="17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9"/>
      <c r="R291" s="20"/>
      <c r="S291" s="21"/>
      <c r="T291" s="22"/>
    </row>
    <row r="292" spans="1:20" ht="13.2" x14ac:dyDescent="0.25">
      <c r="A292" s="17"/>
      <c r="B292" s="17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9"/>
      <c r="R292" s="20"/>
      <c r="S292" s="21"/>
      <c r="T292" s="22"/>
    </row>
    <row r="293" spans="1:20" ht="13.2" x14ac:dyDescent="0.25">
      <c r="A293" s="17"/>
      <c r="B293" s="17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9"/>
      <c r="R293" s="20"/>
      <c r="S293" s="21"/>
      <c r="T293" s="22"/>
    </row>
    <row r="294" spans="1:20" ht="13.2" x14ac:dyDescent="0.25">
      <c r="A294" s="17"/>
      <c r="B294" s="17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9"/>
      <c r="R294" s="20"/>
      <c r="S294" s="21"/>
      <c r="T294" s="22"/>
    </row>
    <row r="295" spans="1:20" ht="13.2" x14ac:dyDescent="0.25">
      <c r="A295" s="17"/>
      <c r="B295" s="17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9"/>
      <c r="R295" s="20"/>
      <c r="S295" s="21"/>
      <c r="T295" s="22"/>
    </row>
    <row r="296" spans="1:20" ht="13.2" x14ac:dyDescent="0.25">
      <c r="A296" s="17"/>
      <c r="B296" s="17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9"/>
      <c r="R296" s="20"/>
      <c r="S296" s="21"/>
      <c r="T296" s="22"/>
    </row>
    <row r="297" spans="1:20" ht="13.2" x14ac:dyDescent="0.25">
      <c r="A297" s="17"/>
      <c r="B297" s="17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9"/>
      <c r="R297" s="20"/>
      <c r="S297" s="21"/>
      <c r="T297" s="22"/>
    </row>
    <row r="298" spans="1:20" ht="13.2" x14ac:dyDescent="0.25">
      <c r="A298" s="17"/>
      <c r="B298" s="17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9"/>
      <c r="R298" s="20"/>
      <c r="S298" s="21"/>
      <c r="T298" s="22"/>
    </row>
    <row r="299" spans="1:20" ht="13.2" x14ac:dyDescent="0.25">
      <c r="A299" s="17"/>
      <c r="B299" s="17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9"/>
      <c r="R299" s="20"/>
      <c r="S299" s="21"/>
      <c r="T299" s="22"/>
    </row>
    <row r="300" spans="1:20" ht="13.2" x14ac:dyDescent="0.25">
      <c r="A300" s="17"/>
      <c r="B300" s="17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9"/>
      <c r="R300" s="20"/>
      <c r="S300" s="21"/>
      <c r="T300" s="22"/>
    </row>
    <row r="301" spans="1:20" ht="13.2" x14ac:dyDescent="0.25">
      <c r="A301" s="17"/>
      <c r="B301" s="17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9"/>
      <c r="R301" s="20"/>
      <c r="S301" s="21"/>
      <c r="T301" s="22"/>
    </row>
    <row r="302" spans="1:20" ht="13.2" x14ac:dyDescent="0.25">
      <c r="A302" s="17"/>
      <c r="B302" s="17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9"/>
      <c r="R302" s="20"/>
      <c r="S302" s="21"/>
      <c r="T302" s="22"/>
    </row>
    <row r="303" spans="1:20" ht="13.2" x14ac:dyDescent="0.25">
      <c r="A303" s="17"/>
      <c r="B303" s="17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9"/>
      <c r="R303" s="20"/>
      <c r="S303" s="21"/>
      <c r="T303" s="22"/>
    </row>
    <row r="304" spans="1:20" ht="13.2" x14ac:dyDescent="0.25">
      <c r="A304" s="17"/>
      <c r="B304" s="17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9"/>
      <c r="R304" s="20"/>
      <c r="S304" s="21"/>
      <c r="T304" s="22"/>
    </row>
    <row r="305" spans="1:20" ht="13.2" x14ac:dyDescent="0.25">
      <c r="A305" s="17"/>
      <c r="B305" s="17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9"/>
      <c r="R305" s="20"/>
      <c r="S305" s="21"/>
      <c r="T305" s="22"/>
    </row>
    <row r="306" spans="1:20" ht="13.2" x14ac:dyDescent="0.25">
      <c r="A306" s="17"/>
      <c r="B306" s="17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9"/>
      <c r="R306" s="20"/>
      <c r="S306" s="21"/>
      <c r="T306" s="22"/>
    </row>
    <row r="307" spans="1:20" ht="13.2" x14ac:dyDescent="0.25">
      <c r="A307" s="17"/>
      <c r="B307" s="17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9"/>
      <c r="R307" s="20"/>
      <c r="S307" s="21"/>
      <c r="T307" s="22"/>
    </row>
    <row r="308" spans="1:20" ht="13.2" x14ac:dyDescent="0.25">
      <c r="A308" s="17"/>
      <c r="B308" s="17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9"/>
      <c r="R308" s="20"/>
      <c r="S308" s="21"/>
      <c r="T308" s="22"/>
    </row>
    <row r="309" spans="1:20" ht="13.2" x14ac:dyDescent="0.25">
      <c r="A309" s="17"/>
      <c r="B309" s="17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9"/>
      <c r="R309" s="20"/>
      <c r="S309" s="21"/>
      <c r="T309" s="22"/>
    </row>
    <row r="310" spans="1:20" ht="13.2" x14ac:dyDescent="0.25">
      <c r="A310" s="17"/>
      <c r="B310" s="17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9"/>
      <c r="R310" s="20"/>
      <c r="S310" s="21"/>
      <c r="T310" s="22"/>
    </row>
    <row r="311" spans="1:20" ht="13.2" x14ac:dyDescent="0.25">
      <c r="A311" s="17"/>
      <c r="B311" s="17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9"/>
      <c r="R311" s="20"/>
      <c r="S311" s="21"/>
      <c r="T311" s="22"/>
    </row>
    <row r="312" spans="1:20" ht="13.2" x14ac:dyDescent="0.25">
      <c r="A312" s="17"/>
      <c r="B312" s="17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9"/>
      <c r="R312" s="20"/>
      <c r="S312" s="21"/>
      <c r="T312" s="22"/>
    </row>
    <row r="313" spans="1:20" ht="13.2" x14ac:dyDescent="0.25">
      <c r="A313" s="17"/>
      <c r="B313" s="17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9"/>
      <c r="R313" s="20"/>
      <c r="S313" s="21"/>
      <c r="T313" s="22"/>
    </row>
    <row r="314" spans="1:20" ht="13.2" x14ac:dyDescent="0.25">
      <c r="A314" s="17"/>
      <c r="B314" s="17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9"/>
      <c r="R314" s="20"/>
      <c r="S314" s="21"/>
      <c r="T314" s="22"/>
    </row>
    <row r="315" spans="1:20" ht="13.2" x14ac:dyDescent="0.25">
      <c r="A315" s="17"/>
      <c r="B315" s="17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9"/>
      <c r="R315" s="20"/>
      <c r="S315" s="21"/>
      <c r="T315" s="22"/>
    </row>
    <row r="316" spans="1:20" ht="13.2" x14ac:dyDescent="0.25">
      <c r="A316" s="17"/>
      <c r="B316" s="17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9"/>
      <c r="R316" s="20"/>
      <c r="S316" s="21"/>
      <c r="T316" s="22"/>
    </row>
    <row r="317" spans="1:20" ht="13.2" x14ac:dyDescent="0.25">
      <c r="A317" s="17"/>
      <c r="B317" s="17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9"/>
      <c r="R317" s="20"/>
      <c r="S317" s="21"/>
      <c r="T317" s="22"/>
    </row>
    <row r="318" spans="1:20" ht="13.2" x14ac:dyDescent="0.25">
      <c r="A318" s="17"/>
      <c r="B318" s="17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9"/>
      <c r="R318" s="20"/>
      <c r="S318" s="21"/>
      <c r="T318" s="22"/>
    </row>
    <row r="319" spans="1:20" ht="13.2" x14ac:dyDescent="0.25">
      <c r="A319" s="17"/>
      <c r="B319" s="17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9"/>
      <c r="R319" s="20"/>
      <c r="S319" s="21"/>
      <c r="T319" s="22"/>
    </row>
    <row r="320" spans="1:20" ht="13.2" x14ac:dyDescent="0.25">
      <c r="A320" s="17"/>
      <c r="B320" s="17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9"/>
      <c r="R320" s="20"/>
      <c r="S320" s="21"/>
      <c r="T320" s="22"/>
    </row>
    <row r="321" spans="1:20" ht="13.2" x14ac:dyDescent="0.25">
      <c r="A321" s="17"/>
      <c r="B321" s="17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9"/>
      <c r="R321" s="20"/>
      <c r="S321" s="21"/>
      <c r="T321" s="22"/>
    </row>
    <row r="322" spans="1:20" ht="13.2" x14ac:dyDescent="0.25">
      <c r="A322" s="17"/>
      <c r="B322" s="17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9"/>
      <c r="R322" s="20"/>
      <c r="S322" s="21"/>
      <c r="T322" s="22"/>
    </row>
    <row r="323" spans="1:20" ht="13.2" x14ac:dyDescent="0.25">
      <c r="A323" s="17"/>
      <c r="B323" s="17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9"/>
      <c r="R323" s="20"/>
      <c r="S323" s="21"/>
      <c r="T323" s="22"/>
    </row>
    <row r="324" spans="1:20" ht="13.2" x14ac:dyDescent="0.25">
      <c r="A324" s="17"/>
      <c r="B324" s="17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9"/>
      <c r="R324" s="20"/>
      <c r="S324" s="21"/>
      <c r="T324" s="22"/>
    </row>
    <row r="325" spans="1:20" ht="13.2" x14ac:dyDescent="0.25">
      <c r="A325" s="17"/>
      <c r="B325" s="17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9"/>
      <c r="R325" s="20"/>
      <c r="S325" s="21"/>
      <c r="T325" s="22"/>
    </row>
    <row r="326" spans="1:20" ht="13.2" x14ac:dyDescent="0.25">
      <c r="A326" s="17"/>
      <c r="B326" s="17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9"/>
      <c r="R326" s="20"/>
      <c r="S326" s="21"/>
      <c r="T326" s="22"/>
    </row>
    <row r="327" spans="1:20" ht="13.2" x14ac:dyDescent="0.25">
      <c r="A327" s="17"/>
      <c r="B327" s="17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9"/>
      <c r="R327" s="20"/>
      <c r="S327" s="21"/>
      <c r="T327" s="22"/>
    </row>
    <row r="328" spans="1:20" ht="13.2" x14ac:dyDescent="0.25">
      <c r="A328" s="17"/>
      <c r="B328" s="17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9"/>
      <c r="R328" s="20"/>
      <c r="S328" s="21"/>
      <c r="T328" s="22"/>
    </row>
    <row r="329" spans="1:20" ht="13.2" x14ac:dyDescent="0.25">
      <c r="A329" s="17"/>
      <c r="B329" s="17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9"/>
      <c r="R329" s="20"/>
      <c r="S329" s="21"/>
      <c r="T329" s="22"/>
    </row>
    <row r="330" spans="1:20" ht="13.2" x14ac:dyDescent="0.25">
      <c r="A330" s="17"/>
      <c r="B330" s="17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9"/>
      <c r="R330" s="20"/>
      <c r="S330" s="21"/>
      <c r="T330" s="22"/>
    </row>
    <row r="331" spans="1:20" ht="13.2" x14ac:dyDescent="0.25">
      <c r="A331" s="17"/>
      <c r="B331" s="17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9"/>
      <c r="R331" s="20"/>
      <c r="S331" s="21"/>
      <c r="T331" s="22"/>
    </row>
    <row r="332" spans="1:20" ht="13.2" x14ac:dyDescent="0.25">
      <c r="A332" s="17"/>
      <c r="B332" s="17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9"/>
      <c r="R332" s="20"/>
      <c r="S332" s="21"/>
      <c r="T332" s="22"/>
    </row>
    <row r="333" spans="1:20" ht="13.2" x14ac:dyDescent="0.25">
      <c r="A333" s="17"/>
      <c r="B333" s="17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9"/>
      <c r="R333" s="20"/>
      <c r="S333" s="21"/>
      <c r="T333" s="22"/>
    </row>
    <row r="334" spans="1:20" ht="13.2" x14ac:dyDescent="0.25">
      <c r="A334" s="17"/>
      <c r="B334" s="17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9"/>
      <c r="R334" s="20"/>
      <c r="S334" s="21"/>
      <c r="T334" s="22"/>
    </row>
    <row r="335" spans="1:20" ht="13.2" x14ac:dyDescent="0.25">
      <c r="A335" s="17"/>
      <c r="B335" s="17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9"/>
      <c r="R335" s="20"/>
      <c r="S335" s="21"/>
      <c r="T335" s="22"/>
    </row>
    <row r="336" spans="1:20" ht="13.2" x14ac:dyDescent="0.25">
      <c r="A336" s="17"/>
      <c r="B336" s="17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9"/>
      <c r="R336" s="20"/>
      <c r="S336" s="21"/>
      <c r="T336" s="22"/>
    </row>
    <row r="337" spans="1:20" ht="13.2" x14ac:dyDescent="0.25">
      <c r="A337" s="17"/>
      <c r="B337" s="17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9"/>
      <c r="R337" s="20"/>
      <c r="S337" s="21"/>
      <c r="T337" s="22"/>
    </row>
    <row r="338" spans="1:20" ht="13.2" x14ac:dyDescent="0.25">
      <c r="A338" s="17"/>
      <c r="B338" s="17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9"/>
      <c r="R338" s="20"/>
      <c r="S338" s="21"/>
      <c r="T338" s="22"/>
    </row>
    <row r="339" spans="1:20" ht="13.2" x14ac:dyDescent="0.25">
      <c r="A339" s="17"/>
      <c r="B339" s="17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9"/>
      <c r="R339" s="20"/>
      <c r="S339" s="21"/>
      <c r="T339" s="22"/>
    </row>
    <row r="340" spans="1:20" ht="13.2" x14ac:dyDescent="0.25">
      <c r="A340" s="17"/>
      <c r="B340" s="17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9"/>
      <c r="R340" s="20"/>
      <c r="S340" s="21"/>
      <c r="T340" s="22"/>
    </row>
    <row r="341" spans="1:20" ht="13.2" x14ac:dyDescent="0.25">
      <c r="A341" s="17"/>
      <c r="B341" s="17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9"/>
      <c r="R341" s="20"/>
      <c r="S341" s="21"/>
      <c r="T341" s="22"/>
    </row>
    <row r="342" spans="1:20" ht="13.2" x14ac:dyDescent="0.25">
      <c r="A342" s="17"/>
      <c r="B342" s="17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9"/>
      <c r="R342" s="20"/>
      <c r="S342" s="21"/>
      <c r="T342" s="22"/>
    </row>
    <row r="343" spans="1:20" ht="13.2" x14ac:dyDescent="0.25">
      <c r="A343" s="17"/>
      <c r="B343" s="17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9"/>
      <c r="R343" s="20"/>
      <c r="S343" s="21"/>
      <c r="T343" s="22"/>
    </row>
    <row r="344" spans="1:20" ht="13.2" x14ac:dyDescent="0.25">
      <c r="A344" s="17"/>
      <c r="B344" s="17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9"/>
      <c r="R344" s="20"/>
      <c r="S344" s="21"/>
      <c r="T344" s="22"/>
    </row>
    <row r="345" spans="1:20" ht="13.2" x14ac:dyDescent="0.25">
      <c r="A345" s="17"/>
      <c r="B345" s="17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9"/>
      <c r="R345" s="20"/>
      <c r="S345" s="21"/>
      <c r="T345" s="22"/>
    </row>
    <row r="346" spans="1:20" ht="13.2" x14ac:dyDescent="0.25">
      <c r="A346" s="17"/>
      <c r="B346" s="17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9"/>
      <c r="R346" s="20"/>
      <c r="S346" s="21"/>
      <c r="T346" s="22"/>
    </row>
    <row r="347" spans="1:20" ht="13.2" x14ac:dyDescent="0.25">
      <c r="A347" s="17"/>
      <c r="B347" s="17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9"/>
      <c r="R347" s="20"/>
      <c r="S347" s="21"/>
      <c r="T347" s="22"/>
    </row>
    <row r="348" spans="1:20" ht="13.2" x14ac:dyDescent="0.25">
      <c r="A348" s="17"/>
      <c r="B348" s="17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9"/>
      <c r="R348" s="20"/>
      <c r="S348" s="21"/>
      <c r="T348" s="22"/>
    </row>
    <row r="349" spans="1:20" ht="13.2" x14ac:dyDescent="0.25">
      <c r="A349" s="17"/>
      <c r="B349" s="17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9"/>
      <c r="R349" s="20"/>
      <c r="S349" s="21"/>
      <c r="T349" s="22"/>
    </row>
    <row r="350" spans="1:20" ht="13.2" x14ac:dyDescent="0.25">
      <c r="A350" s="17"/>
      <c r="B350" s="17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9"/>
      <c r="R350" s="20"/>
      <c r="S350" s="21"/>
      <c r="T350" s="22"/>
    </row>
    <row r="351" spans="1:20" ht="13.2" x14ac:dyDescent="0.25">
      <c r="A351" s="17"/>
      <c r="B351" s="17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9"/>
      <c r="R351" s="20"/>
      <c r="S351" s="21"/>
      <c r="T351" s="22"/>
    </row>
    <row r="352" spans="1:20" ht="13.2" x14ac:dyDescent="0.25">
      <c r="A352" s="17"/>
      <c r="B352" s="17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9"/>
      <c r="R352" s="20"/>
      <c r="S352" s="21"/>
      <c r="T352" s="22"/>
    </row>
    <row r="353" spans="1:20" ht="13.2" x14ac:dyDescent="0.25">
      <c r="A353" s="17"/>
      <c r="B353" s="17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9"/>
      <c r="R353" s="20"/>
      <c r="S353" s="21"/>
      <c r="T353" s="22"/>
    </row>
    <row r="354" spans="1:20" ht="13.2" x14ac:dyDescent="0.25">
      <c r="A354" s="17"/>
      <c r="B354" s="17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9"/>
      <c r="R354" s="20"/>
      <c r="S354" s="21"/>
      <c r="T354" s="22"/>
    </row>
    <row r="355" spans="1:20" ht="13.2" x14ac:dyDescent="0.25">
      <c r="A355" s="17"/>
      <c r="B355" s="17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9"/>
      <c r="R355" s="20"/>
      <c r="S355" s="21"/>
      <c r="T355" s="22"/>
    </row>
    <row r="356" spans="1:20" ht="13.2" x14ac:dyDescent="0.25">
      <c r="A356" s="17"/>
      <c r="B356" s="17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9"/>
      <c r="R356" s="20"/>
      <c r="S356" s="21"/>
      <c r="T356" s="22"/>
    </row>
    <row r="357" spans="1:20" ht="13.2" x14ac:dyDescent="0.25">
      <c r="A357" s="17"/>
      <c r="B357" s="17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9"/>
      <c r="R357" s="20"/>
      <c r="S357" s="21"/>
      <c r="T357" s="22"/>
    </row>
    <row r="358" spans="1:20" ht="13.2" x14ac:dyDescent="0.25">
      <c r="A358" s="17"/>
      <c r="B358" s="17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9"/>
      <c r="R358" s="20"/>
      <c r="S358" s="21"/>
      <c r="T358" s="22"/>
    </row>
    <row r="359" spans="1:20" ht="13.2" x14ac:dyDescent="0.25">
      <c r="A359" s="17"/>
      <c r="B359" s="17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9"/>
      <c r="R359" s="20"/>
      <c r="S359" s="21"/>
      <c r="T359" s="22"/>
    </row>
    <row r="360" spans="1:20" ht="13.2" x14ac:dyDescent="0.25">
      <c r="A360" s="17"/>
      <c r="B360" s="17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9"/>
      <c r="R360" s="20"/>
      <c r="S360" s="21"/>
      <c r="T360" s="22"/>
    </row>
    <row r="361" spans="1:20" ht="13.2" x14ac:dyDescent="0.25">
      <c r="A361" s="17"/>
      <c r="B361" s="17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9"/>
      <c r="R361" s="20"/>
      <c r="S361" s="21"/>
      <c r="T361" s="22"/>
    </row>
    <row r="362" spans="1:20" ht="13.2" x14ac:dyDescent="0.25">
      <c r="A362" s="17"/>
      <c r="B362" s="17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9"/>
      <c r="R362" s="20"/>
      <c r="S362" s="21"/>
      <c r="T362" s="22"/>
    </row>
    <row r="363" spans="1:20" ht="13.2" x14ac:dyDescent="0.25">
      <c r="A363" s="17"/>
      <c r="B363" s="17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9"/>
      <c r="R363" s="20"/>
      <c r="S363" s="21"/>
      <c r="T363" s="22"/>
    </row>
    <row r="364" spans="1:20" ht="13.2" x14ac:dyDescent="0.25">
      <c r="A364" s="17"/>
      <c r="B364" s="17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9"/>
      <c r="R364" s="20"/>
      <c r="S364" s="21"/>
      <c r="T364" s="22"/>
    </row>
    <row r="365" spans="1:20" ht="13.2" x14ac:dyDescent="0.25">
      <c r="A365" s="17"/>
      <c r="B365" s="17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9"/>
      <c r="R365" s="20"/>
      <c r="S365" s="21"/>
      <c r="T365" s="22"/>
    </row>
    <row r="366" spans="1:20" ht="13.2" x14ac:dyDescent="0.25">
      <c r="A366" s="17"/>
      <c r="B366" s="17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9"/>
      <c r="R366" s="20"/>
      <c r="S366" s="21"/>
      <c r="T366" s="22"/>
    </row>
    <row r="367" spans="1:20" ht="13.2" x14ac:dyDescent="0.25">
      <c r="A367" s="17"/>
      <c r="B367" s="17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9"/>
      <c r="R367" s="20"/>
      <c r="S367" s="21"/>
      <c r="T367" s="22"/>
    </row>
    <row r="368" spans="1:20" ht="13.2" x14ac:dyDescent="0.25">
      <c r="A368" s="17"/>
      <c r="B368" s="17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9"/>
      <c r="R368" s="20"/>
      <c r="S368" s="21"/>
      <c r="T368" s="22"/>
    </row>
    <row r="369" spans="1:20" ht="13.2" x14ac:dyDescent="0.25">
      <c r="A369" s="17"/>
      <c r="B369" s="17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9"/>
      <c r="R369" s="20"/>
      <c r="S369" s="21"/>
      <c r="T369" s="22"/>
    </row>
    <row r="370" spans="1:20" ht="13.2" x14ac:dyDescent="0.25">
      <c r="A370" s="17"/>
      <c r="B370" s="17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9"/>
      <c r="R370" s="20"/>
      <c r="S370" s="21"/>
      <c r="T370" s="22"/>
    </row>
    <row r="371" spans="1:20" ht="13.2" x14ac:dyDescent="0.25">
      <c r="A371" s="17"/>
      <c r="B371" s="17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9"/>
      <c r="R371" s="20"/>
      <c r="S371" s="21"/>
      <c r="T371" s="22"/>
    </row>
    <row r="372" spans="1:20" ht="13.2" x14ac:dyDescent="0.25">
      <c r="A372" s="17"/>
      <c r="B372" s="17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9"/>
      <c r="R372" s="20"/>
      <c r="S372" s="21"/>
      <c r="T372" s="22"/>
    </row>
    <row r="373" spans="1:20" ht="13.2" x14ac:dyDescent="0.25">
      <c r="A373" s="17"/>
      <c r="B373" s="17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9"/>
      <c r="R373" s="20"/>
      <c r="S373" s="21"/>
      <c r="T373" s="22"/>
    </row>
    <row r="374" spans="1:20" ht="13.2" x14ac:dyDescent="0.25">
      <c r="A374" s="17"/>
      <c r="B374" s="17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9"/>
      <c r="R374" s="20"/>
      <c r="S374" s="21"/>
      <c r="T374" s="22"/>
    </row>
    <row r="375" spans="1:20" ht="13.2" x14ac:dyDescent="0.25">
      <c r="A375" s="17"/>
      <c r="B375" s="17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9"/>
      <c r="R375" s="20"/>
      <c r="S375" s="21"/>
      <c r="T375" s="22"/>
    </row>
    <row r="376" spans="1:20" ht="13.2" x14ac:dyDescent="0.25">
      <c r="A376" s="17"/>
      <c r="B376" s="17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9"/>
      <c r="R376" s="20"/>
      <c r="S376" s="21"/>
      <c r="T376" s="22"/>
    </row>
    <row r="377" spans="1:20" ht="13.2" x14ac:dyDescent="0.25">
      <c r="A377" s="17"/>
      <c r="B377" s="17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9"/>
      <c r="R377" s="20"/>
      <c r="S377" s="21"/>
      <c r="T377" s="22"/>
    </row>
    <row r="378" spans="1:20" ht="13.2" x14ac:dyDescent="0.25">
      <c r="A378" s="17"/>
      <c r="B378" s="17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9"/>
      <c r="R378" s="20"/>
      <c r="S378" s="21"/>
      <c r="T378" s="22"/>
    </row>
    <row r="379" spans="1:20" ht="13.2" x14ac:dyDescent="0.25">
      <c r="A379" s="17"/>
      <c r="B379" s="17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9"/>
      <c r="R379" s="20"/>
      <c r="S379" s="21"/>
      <c r="T379" s="22"/>
    </row>
    <row r="380" spans="1:20" ht="13.2" x14ac:dyDescent="0.25">
      <c r="A380" s="17"/>
      <c r="B380" s="17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9"/>
      <c r="R380" s="20"/>
      <c r="S380" s="21"/>
      <c r="T380" s="22"/>
    </row>
    <row r="381" spans="1:20" ht="13.2" x14ac:dyDescent="0.25">
      <c r="A381" s="17"/>
      <c r="B381" s="17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9"/>
      <c r="R381" s="20"/>
      <c r="S381" s="21"/>
      <c r="T381" s="22"/>
    </row>
    <row r="382" spans="1:20" ht="13.2" x14ac:dyDescent="0.25">
      <c r="A382" s="17"/>
      <c r="B382" s="17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9"/>
      <c r="R382" s="20"/>
      <c r="S382" s="21"/>
      <c r="T382" s="22"/>
    </row>
    <row r="383" spans="1:20" ht="13.2" x14ac:dyDescent="0.25">
      <c r="A383" s="17"/>
      <c r="B383" s="17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9"/>
      <c r="R383" s="20"/>
      <c r="S383" s="21"/>
      <c r="T383" s="22"/>
    </row>
    <row r="384" spans="1:20" ht="13.2" x14ac:dyDescent="0.25">
      <c r="A384" s="17"/>
      <c r="B384" s="17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9"/>
      <c r="R384" s="20"/>
      <c r="S384" s="21"/>
      <c r="T384" s="22"/>
    </row>
    <row r="385" spans="1:20" ht="13.2" x14ac:dyDescent="0.25">
      <c r="A385" s="17"/>
      <c r="B385" s="17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9"/>
      <c r="R385" s="20"/>
      <c r="S385" s="21"/>
      <c r="T385" s="22"/>
    </row>
    <row r="386" spans="1:20" ht="13.2" x14ac:dyDescent="0.25">
      <c r="A386" s="17"/>
      <c r="B386" s="17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9"/>
      <c r="R386" s="20"/>
      <c r="S386" s="21"/>
      <c r="T386" s="22"/>
    </row>
    <row r="387" spans="1:20" ht="13.2" x14ac:dyDescent="0.25">
      <c r="A387" s="17"/>
      <c r="B387" s="17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9"/>
      <c r="R387" s="20"/>
      <c r="S387" s="21"/>
      <c r="T387" s="22"/>
    </row>
    <row r="388" spans="1:20" ht="13.2" x14ac:dyDescent="0.25">
      <c r="A388" s="17"/>
      <c r="B388" s="17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9"/>
      <c r="R388" s="20"/>
      <c r="S388" s="21"/>
      <c r="T388" s="22"/>
    </row>
    <row r="389" spans="1:20" ht="13.2" x14ac:dyDescent="0.25">
      <c r="A389" s="17"/>
      <c r="B389" s="17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9"/>
      <c r="R389" s="20"/>
      <c r="S389" s="21"/>
      <c r="T389" s="22"/>
    </row>
    <row r="390" spans="1:20" ht="13.2" x14ac:dyDescent="0.25">
      <c r="A390" s="17"/>
      <c r="B390" s="17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9"/>
      <c r="R390" s="20"/>
      <c r="S390" s="21"/>
      <c r="T390" s="22"/>
    </row>
    <row r="391" spans="1:20" ht="13.2" x14ac:dyDescent="0.25">
      <c r="A391" s="17"/>
      <c r="B391" s="17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9"/>
      <c r="R391" s="20"/>
      <c r="S391" s="21"/>
      <c r="T391" s="22"/>
    </row>
    <row r="392" spans="1:20" ht="13.2" x14ac:dyDescent="0.25">
      <c r="A392" s="17"/>
      <c r="B392" s="17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9"/>
      <c r="R392" s="20"/>
      <c r="S392" s="21"/>
      <c r="T392" s="22"/>
    </row>
    <row r="393" spans="1:20" ht="13.2" x14ac:dyDescent="0.25">
      <c r="A393" s="17"/>
      <c r="B393" s="17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9"/>
      <c r="R393" s="20"/>
      <c r="S393" s="21"/>
      <c r="T393" s="22"/>
    </row>
    <row r="394" spans="1:20" ht="13.2" x14ac:dyDescent="0.25">
      <c r="A394" s="17"/>
      <c r="B394" s="17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9"/>
      <c r="R394" s="20"/>
      <c r="S394" s="21"/>
      <c r="T394" s="22"/>
    </row>
    <row r="395" spans="1:20" ht="13.2" x14ac:dyDescent="0.25">
      <c r="A395" s="17"/>
      <c r="B395" s="17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9"/>
      <c r="R395" s="20"/>
      <c r="S395" s="21"/>
      <c r="T395" s="22"/>
    </row>
    <row r="396" spans="1:20" ht="13.2" x14ac:dyDescent="0.25">
      <c r="A396" s="17"/>
      <c r="B396" s="17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9"/>
      <c r="R396" s="20"/>
      <c r="S396" s="21"/>
      <c r="T396" s="22"/>
    </row>
    <row r="397" spans="1:20" ht="13.2" x14ac:dyDescent="0.25">
      <c r="A397" s="17"/>
      <c r="B397" s="17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9"/>
      <c r="R397" s="20"/>
      <c r="S397" s="21"/>
      <c r="T397" s="22"/>
    </row>
    <row r="398" spans="1:20" ht="13.2" x14ac:dyDescent="0.25">
      <c r="A398" s="17"/>
      <c r="B398" s="17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9"/>
      <c r="R398" s="20"/>
      <c r="S398" s="21"/>
      <c r="T398" s="22"/>
    </row>
    <row r="399" spans="1:20" ht="13.2" x14ac:dyDescent="0.25">
      <c r="A399" s="17"/>
      <c r="B399" s="17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9"/>
      <c r="R399" s="20"/>
      <c r="S399" s="21"/>
      <c r="T399" s="22"/>
    </row>
    <row r="400" spans="1:20" ht="13.2" x14ac:dyDescent="0.25">
      <c r="A400" s="17"/>
      <c r="B400" s="17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9"/>
      <c r="R400" s="20"/>
      <c r="S400" s="21"/>
      <c r="T400" s="22"/>
    </row>
    <row r="401" spans="1:20" ht="13.2" x14ac:dyDescent="0.25">
      <c r="A401" s="17"/>
      <c r="B401" s="17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9"/>
      <c r="R401" s="20"/>
      <c r="S401" s="21"/>
      <c r="T401" s="22"/>
    </row>
    <row r="402" spans="1:20" ht="13.2" x14ac:dyDescent="0.25">
      <c r="A402" s="17"/>
      <c r="B402" s="17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9"/>
      <c r="R402" s="20"/>
      <c r="S402" s="21"/>
      <c r="T402" s="22"/>
    </row>
    <row r="403" spans="1:20" ht="13.2" x14ac:dyDescent="0.25">
      <c r="A403" s="17"/>
      <c r="B403" s="17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9"/>
      <c r="R403" s="20"/>
      <c r="S403" s="21"/>
      <c r="T403" s="22"/>
    </row>
    <row r="404" spans="1:20" ht="13.2" x14ac:dyDescent="0.25">
      <c r="A404" s="17"/>
      <c r="B404" s="17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9"/>
      <c r="R404" s="20"/>
      <c r="S404" s="21"/>
      <c r="T404" s="22"/>
    </row>
    <row r="405" spans="1:20" ht="13.2" x14ac:dyDescent="0.25">
      <c r="A405" s="17"/>
      <c r="B405" s="17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9"/>
      <c r="R405" s="20"/>
      <c r="S405" s="21"/>
      <c r="T405" s="22"/>
    </row>
    <row r="406" spans="1:20" ht="13.2" x14ac:dyDescent="0.25">
      <c r="A406" s="17"/>
      <c r="B406" s="17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9"/>
      <c r="R406" s="20"/>
      <c r="S406" s="21"/>
      <c r="T406" s="22"/>
    </row>
    <row r="407" spans="1:20" ht="13.2" x14ac:dyDescent="0.25">
      <c r="A407" s="17"/>
      <c r="B407" s="17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9"/>
      <c r="R407" s="20"/>
      <c r="S407" s="21"/>
      <c r="T407" s="22"/>
    </row>
    <row r="408" spans="1:20" ht="13.2" x14ac:dyDescent="0.25">
      <c r="A408" s="17"/>
      <c r="B408" s="17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9"/>
      <c r="R408" s="20"/>
      <c r="S408" s="21"/>
      <c r="T408" s="22"/>
    </row>
    <row r="409" spans="1:20" ht="13.2" x14ac:dyDescent="0.25">
      <c r="A409" s="17"/>
      <c r="B409" s="17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9"/>
      <c r="R409" s="20"/>
      <c r="S409" s="21"/>
      <c r="T409" s="22"/>
    </row>
    <row r="410" spans="1:20" ht="13.2" x14ac:dyDescent="0.25">
      <c r="A410" s="17"/>
      <c r="B410" s="17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9"/>
      <c r="R410" s="20"/>
      <c r="S410" s="21"/>
      <c r="T410" s="22"/>
    </row>
    <row r="411" spans="1:20" ht="13.2" x14ac:dyDescent="0.25">
      <c r="A411" s="17"/>
      <c r="B411" s="17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9"/>
      <c r="R411" s="20"/>
      <c r="S411" s="21"/>
      <c r="T411" s="22"/>
    </row>
    <row r="412" spans="1:20" ht="13.2" x14ac:dyDescent="0.25">
      <c r="A412" s="17"/>
      <c r="B412" s="17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9"/>
      <c r="R412" s="20"/>
      <c r="S412" s="21"/>
      <c r="T412" s="22"/>
    </row>
    <row r="413" spans="1:20" ht="13.2" x14ac:dyDescent="0.25">
      <c r="A413" s="17"/>
      <c r="B413" s="17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9"/>
      <c r="R413" s="20"/>
      <c r="S413" s="21"/>
      <c r="T413" s="22"/>
    </row>
    <row r="414" spans="1:20" ht="13.2" x14ac:dyDescent="0.25">
      <c r="A414" s="17"/>
      <c r="B414" s="17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9"/>
      <c r="R414" s="20"/>
      <c r="S414" s="21"/>
      <c r="T414" s="22"/>
    </row>
    <row r="415" spans="1:20" ht="13.2" x14ac:dyDescent="0.25">
      <c r="A415" s="17"/>
      <c r="B415" s="17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9"/>
      <c r="R415" s="20"/>
      <c r="S415" s="21"/>
      <c r="T415" s="22"/>
    </row>
    <row r="416" spans="1:20" ht="13.2" x14ac:dyDescent="0.25">
      <c r="A416" s="17"/>
      <c r="B416" s="17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9"/>
      <c r="R416" s="20"/>
      <c r="S416" s="21"/>
      <c r="T416" s="22"/>
    </row>
    <row r="417" spans="1:20" ht="13.2" x14ac:dyDescent="0.25">
      <c r="A417" s="17"/>
      <c r="B417" s="17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9"/>
      <c r="R417" s="20"/>
      <c r="S417" s="21"/>
      <c r="T417" s="22"/>
    </row>
    <row r="418" spans="1:20" ht="13.2" x14ac:dyDescent="0.25">
      <c r="A418" s="17"/>
      <c r="B418" s="17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9"/>
      <c r="R418" s="20"/>
      <c r="S418" s="21"/>
      <c r="T418" s="22"/>
    </row>
    <row r="419" spans="1:20" ht="13.2" x14ac:dyDescent="0.25">
      <c r="A419" s="17"/>
      <c r="B419" s="17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9"/>
      <c r="R419" s="20"/>
      <c r="S419" s="21"/>
      <c r="T419" s="22"/>
    </row>
    <row r="420" spans="1:20" ht="13.2" x14ac:dyDescent="0.25">
      <c r="A420" s="17"/>
      <c r="B420" s="17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9"/>
      <c r="R420" s="20"/>
      <c r="S420" s="21"/>
      <c r="T420" s="22"/>
    </row>
    <row r="421" spans="1:20" ht="13.2" x14ac:dyDescent="0.25">
      <c r="A421" s="17"/>
      <c r="B421" s="17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9"/>
      <c r="R421" s="20"/>
      <c r="S421" s="21"/>
      <c r="T421" s="22"/>
    </row>
    <row r="422" spans="1:20" ht="13.2" x14ac:dyDescent="0.25">
      <c r="A422" s="17"/>
      <c r="B422" s="17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9"/>
      <c r="R422" s="20"/>
      <c r="S422" s="21"/>
      <c r="T422" s="22"/>
    </row>
    <row r="423" spans="1:20" ht="13.2" x14ac:dyDescent="0.25">
      <c r="A423" s="17"/>
      <c r="B423" s="17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9"/>
      <c r="R423" s="20"/>
      <c r="S423" s="21"/>
      <c r="T423" s="22"/>
    </row>
    <row r="424" spans="1:20" ht="13.2" x14ac:dyDescent="0.25">
      <c r="A424" s="17"/>
      <c r="B424" s="17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9"/>
      <c r="R424" s="20"/>
      <c r="S424" s="21"/>
      <c r="T424" s="22"/>
    </row>
    <row r="425" spans="1:20" ht="13.2" x14ac:dyDescent="0.25">
      <c r="A425" s="17"/>
      <c r="B425" s="17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9"/>
      <c r="R425" s="20"/>
      <c r="S425" s="21"/>
      <c r="T425" s="22"/>
    </row>
    <row r="426" spans="1:20" ht="13.2" x14ac:dyDescent="0.25">
      <c r="A426" s="17"/>
      <c r="B426" s="17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9"/>
      <c r="R426" s="20"/>
      <c r="S426" s="21"/>
      <c r="T426" s="22"/>
    </row>
    <row r="427" spans="1:20" ht="13.2" x14ac:dyDescent="0.25">
      <c r="A427" s="17"/>
      <c r="B427" s="17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9"/>
      <c r="R427" s="20"/>
      <c r="S427" s="21"/>
      <c r="T427" s="22"/>
    </row>
    <row r="428" spans="1:20" ht="13.2" x14ac:dyDescent="0.25">
      <c r="A428" s="17"/>
      <c r="B428" s="17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9"/>
      <c r="R428" s="20"/>
      <c r="S428" s="21"/>
      <c r="T428" s="22"/>
    </row>
    <row r="429" spans="1:20" ht="13.2" x14ac:dyDescent="0.25">
      <c r="A429" s="17"/>
      <c r="B429" s="17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9"/>
      <c r="R429" s="20"/>
      <c r="S429" s="21"/>
      <c r="T429" s="22"/>
    </row>
    <row r="430" spans="1:20" ht="13.2" x14ac:dyDescent="0.25">
      <c r="A430" s="17"/>
      <c r="B430" s="17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9"/>
      <c r="R430" s="20"/>
      <c r="S430" s="21"/>
      <c r="T430" s="22"/>
    </row>
    <row r="431" spans="1:20" ht="13.2" x14ac:dyDescent="0.25">
      <c r="A431" s="17"/>
      <c r="B431" s="17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9"/>
      <c r="R431" s="20"/>
      <c r="S431" s="21"/>
      <c r="T431" s="22"/>
    </row>
    <row r="432" spans="1:20" ht="13.2" x14ac:dyDescent="0.25">
      <c r="A432" s="17"/>
      <c r="B432" s="17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9"/>
      <c r="R432" s="20"/>
      <c r="S432" s="21"/>
      <c r="T432" s="22"/>
    </row>
    <row r="433" spans="1:20" ht="13.2" x14ac:dyDescent="0.25">
      <c r="A433" s="17"/>
      <c r="B433" s="17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9"/>
      <c r="R433" s="20"/>
      <c r="S433" s="21"/>
      <c r="T433" s="22"/>
    </row>
    <row r="434" spans="1:20" ht="13.2" x14ac:dyDescent="0.25">
      <c r="A434" s="17"/>
      <c r="B434" s="17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9"/>
      <c r="R434" s="20"/>
      <c r="S434" s="21"/>
      <c r="T434" s="22"/>
    </row>
    <row r="435" spans="1:20" ht="13.2" x14ac:dyDescent="0.25">
      <c r="A435" s="17"/>
      <c r="B435" s="17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9"/>
      <c r="R435" s="20"/>
      <c r="S435" s="21"/>
      <c r="T435" s="22"/>
    </row>
    <row r="436" spans="1:20" ht="13.2" x14ac:dyDescent="0.25">
      <c r="A436" s="17"/>
      <c r="B436" s="17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9"/>
      <c r="R436" s="20"/>
      <c r="S436" s="21"/>
      <c r="T436" s="22"/>
    </row>
    <row r="437" spans="1:20" ht="13.2" x14ac:dyDescent="0.25">
      <c r="A437" s="17"/>
      <c r="B437" s="17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9"/>
      <c r="R437" s="20"/>
      <c r="S437" s="21"/>
      <c r="T437" s="22"/>
    </row>
    <row r="438" spans="1:20" ht="13.2" x14ac:dyDescent="0.25">
      <c r="A438" s="17"/>
      <c r="B438" s="17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9"/>
      <c r="R438" s="20"/>
      <c r="S438" s="21"/>
      <c r="T438" s="22"/>
    </row>
    <row r="439" spans="1:20" ht="13.2" x14ac:dyDescent="0.25">
      <c r="A439" s="17"/>
      <c r="B439" s="17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9"/>
      <c r="R439" s="20"/>
      <c r="S439" s="21"/>
      <c r="T439" s="22"/>
    </row>
    <row r="440" spans="1:20" ht="13.2" x14ac:dyDescent="0.25">
      <c r="A440" s="17"/>
      <c r="B440" s="17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9"/>
      <c r="R440" s="20"/>
      <c r="S440" s="21"/>
      <c r="T440" s="22"/>
    </row>
    <row r="441" spans="1:20" ht="13.2" x14ac:dyDescent="0.25">
      <c r="A441" s="17"/>
      <c r="B441" s="17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9"/>
      <c r="R441" s="20"/>
      <c r="S441" s="21"/>
      <c r="T441" s="22"/>
    </row>
    <row r="442" spans="1:20" ht="13.2" x14ac:dyDescent="0.25">
      <c r="A442" s="17"/>
      <c r="B442" s="17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9"/>
      <c r="R442" s="20"/>
      <c r="S442" s="21"/>
      <c r="T442" s="22"/>
    </row>
    <row r="443" spans="1:20" ht="13.2" x14ac:dyDescent="0.25">
      <c r="A443" s="17"/>
      <c r="B443" s="17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9"/>
      <c r="R443" s="20"/>
      <c r="S443" s="21"/>
      <c r="T443" s="22"/>
    </row>
    <row r="444" spans="1:20" ht="13.2" x14ac:dyDescent="0.25">
      <c r="A444" s="17"/>
      <c r="B444" s="17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9"/>
      <c r="R444" s="20"/>
      <c r="S444" s="21"/>
      <c r="T444" s="22"/>
    </row>
    <row r="445" spans="1:20" ht="13.2" x14ac:dyDescent="0.25">
      <c r="A445" s="17"/>
      <c r="B445" s="17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9"/>
      <c r="R445" s="20"/>
      <c r="S445" s="21"/>
      <c r="T445" s="22"/>
    </row>
    <row r="446" spans="1:20" ht="13.2" x14ac:dyDescent="0.25">
      <c r="A446" s="17"/>
      <c r="B446" s="17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9"/>
      <c r="R446" s="20"/>
      <c r="S446" s="21"/>
      <c r="T446" s="22"/>
    </row>
    <row r="447" spans="1:20" ht="13.2" x14ac:dyDescent="0.25">
      <c r="A447" s="17"/>
      <c r="B447" s="17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9"/>
      <c r="R447" s="20"/>
      <c r="S447" s="21"/>
      <c r="T447" s="22"/>
    </row>
    <row r="448" spans="1:20" ht="13.2" x14ac:dyDescent="0.25">
      <c r="A448" s="17"/>
      <c r="B448" s="17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9"/>
      <c r="R448" s="20"/>
      <c r="S448" s="21"/>
      <c r="T448" s="22"/>
    </row>
    <row r="449" spans="1:20" ht="13.2" x14ac:dyDescent="0.25">
      <c r="A449" s="17"/>
      <c r="B449" s="17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9"/>
      <c r="R449" s="20"/>
      <c r="S449" s="21"/>
      <c r="T449" s="22"/>
    </row>
    <row r="450" spans="1:20" ht="13.2" x14ac:dyDescent="0.25">
      <c r="A450" s="17"/>
      <c r="B450" s="17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9"/>
      <c r="R450" s="20"/>
      <c r="S450" s="21"/>
      <c r="T450" s="22"/>
    </row>
    <row r="451" spans="1:20" ht="13.2" x14ac:dyDescent="0.25">
      <c r="A451" s="17"/>
      <c r="B451" s="17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9"/>
      <c r="R451" s="20"/>
      <c r="S451" s="21"/>
      <c r="T451" s="22"/>
    </row>
    <row r="452" spans="1:20" ht="13.2" x14ac:dyDescent="0.25">
      <c r="A452" s="17"/>
      <c r="B452" s="17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9"/>
      <c r="R452" s="20"/>
      <c r="S452" s="21"/>
      <c r="T452" s="22"/>
    </row>
    <row r="453" spans="1:20" ht="13.2" x14ac:dyDescent="0.25">
      <c r="A453" s="17"/>
      <c r="B453" s="17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9"/>
      <c r="R453" s="20"/>
      <c r="S453" s="21"/>
      <c r="T453" s="22"/>
    </row>
    <row r="454" spans="1:20" ht="13.2" x14ac:dyDescent="0.25">
      <c r="A454" s="17"/>
      <c r="B454" s="17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9"/>
      <c r="R454" s="20"/>
      <c r="S454" s="21"/>
      <c r="T454" s="22"/>
    </row>
    <row r="455" spans="1:20" ht="13.2" x14ac:dyDescent="0.25">
      <c r="A455" s="17"/>
      <c r="B455" s="17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9"/>
      <c r="R455" s="20"/>
      <c r="S455" s="21"/>
      <c r="T455" s="22"/>
    </row>
    <row r="456" spans="1:20" ht="13.2" x14ac:dyDescent="0.25">
      <c r="A456" s="17"/>
      <c r="B456" s="17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9"/>
      <c r="R456" s="20"/>
      <c r="S456" s="21"/>
      <c r="T456" s="22"/>
    </row>
    <row r="457" spans="1:20" ht="13.2" x14ac:dyDescent="0.25">
      <c r="A457" s="17"/>
      <c r="B457" s="17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9"/>
      <c r="R457" s="20"/>
      <c r="S457" s="21"/>
      <c r="T457" s="22"/>
    </row>
    <row r="458" spans="1:20" ht="13.2" x14ac:dyDescent="0.25">
      <c r="A458" s="17"/>
      <c r="B458" s="17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9"/>
      <c r="R458" s="20"/>
      <c r="S458" s="21"/>
      <c r="T458" s="22"/>
    </row>
    <row r="459" spans="1:20" ht="13.2" x14ac:dyDescent="0.25">
      <c r="A459" s="17"/>
      <c r="B459" s="17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9"/>
      <c r="R459" s="20"/>
      <c r="S459" s="21"/>
      <c r="T459" s="22"/>
    </row>
    <row r="460" spans="1:20" ht="13.2" x14ac:dyDescent="0.25">
      <c r="A460" s="17"/>
      <c r="B460" s="17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9"/>
      <c r="R460" s="20"/>
      <c r="S460" s="21"/>
      <c r="T460" s="22"/>
    </row>
    <row r="461" spans="1:20" ht="13.2" x14ac:dyDescent="0.25">
      <c r="A461" s="17"/>
      <c r="B461" s="17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9"/>
      <c r="R461" s="20"/>
      <c r="S461" s="21"/>
      <c r="T461" s="22"/>
    </row>
    <row r="462" spans="1:20" ht="13.2" x14ac:dyDescent="0.25">
      <c r="A462" s="17"/>
      <c r="B462" s="17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9"/>
      <c r="R462" s="20"/>
      <c r="S462" s="21"/>
      <c r="T462" s="22"/>
    </row>
    <row r="463" spans="1:20" ht="13.2" x14ac:dyDescent="0.25">
      <c r="A463" s="17"/>
      <c r="B463" s="17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9"/>
      <c r="R463" s="20"/>
      <c r="S463" s="21"/>
      <c r="T463" s="22"/>
    </row>
    <row r="464" spans="1:20" ht="13.2" x14ac:dyDescent="0.25">
      <c r="A464" s="17"/>
      <c r="B464" s="17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9"/>
      <c r="R464" s="20"/>
      <c r="S464" s="21"/>
      <c r="T464" s="22"/>
    </row>
    <row r="465" spans="1:20" ht="13.2" x14ac:dyDescent="0.25">
      <c r="A465" s="17"/>
      <c r="B465" s="17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9"/>
      <c r="R465" s="20"/>
      <c r="S465" s="21"/>
      <c r="T465" s="22"/>
    </row>
    <row r="466" spans="1:20" ht="13.2" x14ac:dyDescent="0.25">
      <c r="A466" s="17"/>
      <c r="B466" s="17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9"/>
      <c r="R466" s="20"/>
      <c r="S466" s="21"/>
      <c r="T466" s="22"/>
    </row>
    <row r="467" spans="1:20" ht="13.2" x14ac:dyDescent="0.25">
      <c r="A467" s="17"/>
      <c r="B467" s="17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9"/>
      <c r="R467" s="20"/>
      <c r="S467" s="21"/>
      <c r="T467" s="22"/>
    </row>
    <row r="468" spans="1:20" ht="13.2" x14ac:dyDescent="0.25">
      <c r="A468" s="17"/>
      <c r="B468" s="17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9"/>
      <c r="R468" s="20"/>
      <c r="S468" s="21"/>
      <c r="T468" s="22"/>
    </row>
    <row r="469" spans="1:20" ht="13.2" x14ac:dyDescent="0.25">
      <c r="A469" s="17"/>
      <c r="B469" s="17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9"/>
      <c r="R469" s="20"/>
      <c r="S469" s="21"/>
      <c r="T469" s="22"/>
    </row>
    <row r="470" spans="1:20" ht="13.2" x14ac:dyDescent="0.25">
      <c r="A470" s="17"/>
      <c r="B470" s="17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9"/>
      <c r="R470" s="20"/>
      <c r="S470" s="21"/>
      <c r="T470" s="22"/>
    </row>
    <row r="471" spans="1:20" ht="13.2" x14ac:dyDescent="0.25">
      <c r="A471" s="17"/>
      <c r="B471" s="17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9"/>
      <c r="R471" s="20"/>
      <c r="S471" s="21"/>
      <c r="T471" s="22"/>
    </row>
    <row r="472" spans="1:20" ht="13.2" x14ac:dyDescent="0.25">
      <c r="A472" s="17"/>
      <c r="B472" s="17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9"/>
      <c r="R472" s="20"/>
      <c r="S472" s="21"/>
      <c r="T472" s="22"/>
    </row>
    <row r="473" spans="1:20" ht="13.2" x14ac:dyDescent="0.25">
      <c r="A473" s="17"/>
      <c r="B473" s="17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9"/>
      <c r="R473" s="20"/>
      <c r="S473" s="21"/>
      <c r="T473" s="22"/>
    </row>
    <row r="474" spans="1:20" ht="13.2" x14ac:dyDescent="0.25">
      <c r="A474" s="17"/>
      <c r="B474" s="17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9"/>
      <c r="R474" s="20"/>
      <c r="S474" s="21"/>
      <c r="T474" s="22"/>
    </row>
    <row r="475" spans="1:20" ht="13.2" x14ac:dyDescent="0.25">
      <c r="A475" s="17"/>
      <c r="B475" s="17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9"/>
      <c r="R475" s="20"/>
      <c r="S475" s="21"/>
      <c r="T475" s="22"/>
    </row>
    <row r="476" spans="1:20" ht="13.2" x14ac:dyDescent="0.25">
      <c r="A476" s="17"/>
      <c r="B476" s="17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9"/>
      <c r="R476" s="20"/>
      <c r="S476" s="21"/>
      <c r="T476" s="22"/>
    </row>
    <row r="477" spans="1:20" ht="13.2" x14ac:dyDescent="0.25">
      <c r="A477" s="17"/>
      <c r="B477" s="17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9"/>
      <c r="R477" s="20"/>
      <c r="S477" s="21"/>
      <c r="T477" s="22"/>
    </row>
    <row r="478" spans="1:20" ht="13.2" x14ac:dyDescent="0.25">
      <c r="A478" s="17"/>
      <c r="B478" s="17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9"/>
      <c r="R478" s="20"/>
      <c r="S478" s="21"/>
      <c r="T478" s="22"/>
    </row>
    <row r="479" spans="1:20" ht="13.2" x14ac:dyDescent="0.25">
      <c r="A479" s="17"/>
      <c r="B479" s="17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9"/>
      <c r="R479" s="20"/>
      <c r="S479" s="21"/>
      <c r="T479" s="22"/>
    </row>
    <row r="480" spans="1:20" ht="13.2" x14ac:dyDescent="0.25">
      <c r="A480" s="17"/>
      <c r="B480" s="17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9"/>
      <c r="R480" s="20"/>
      <c r="S480" s="21"/>
      <c r="T480" s="22"/>
    </row>
    <row r="481" spans="1:20" ht="13.2" x14ac:dyDescent="0.25">
      <c r="A481" s="17"/>
      <c r="B481" s="17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9"/>
      <c r="R481" s="20"/>
      <c r="S481" s="21"/>
      <c r="T481" s="22"/>
    </row>
    <row r="482" spans="1:20" ht="13.2" x14ac:dyDescent="0.25">
      <c r="A482" s="17"/>
      <c r="B482" s="17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9"/>
      <c r="R482" s="20"/>
      <c r="S482" s="21"/>
      <c r="T482" s="22"/>
    </row>
    <row r="483" spans="1:20" ht="13.2" x14ac:dyDescent="0.25">
      <c r="A483" s="17"/>
      <c r="B483" s="17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9"/>
      <c r="R483" s="20"/>
      <c r="S483" s="21"/>
      <c r="T483" s="22"/>
    </row>
    <row r="484" spans="1:20" ht="13.2" x14ac:dyDescent="0.25">
      <c r="A484" s="17"/>
      <c r="B484" s="17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9"/>
      <c r="R484" s="20"/>
      <c r="S484" s="21"/>
      <c r="T484" s="22"/>
    </row>
    <row r="485" spans="1:20" ht="13.2" x14ac:dyDescent="0.25">
      <c r="A485" s="17"/>
      <c r="B485" s="17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9"/>
      <c r="R485" s="20"/>
      <c r="S485" s="21"/>
      <c r="T485" s="22"/>
    </row>
    <row r="486" spans="1:20" ht="13.2" x14ac:dyDescent="0.25">
      <c r="A486" s="17"/>
      <c r="B486" s="17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9"/>
      <c r="R486" s="20"/>
      <c r="S486" s="21"/>
      <c r="T486" s="22"/>
    </row>
    <row r="487" spans="1:20" ht="13.2" x14ac:dyDescent="0.25">
      <c r="A487" s="17"/>
      <c r="B487" s="17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9"/>
      <c r="R487" s="20"/>
      <c r="S487" s="21"/>
      <c r="T487" s="22"/>
    </row>
    <row r="488" spans="1:20" ht="13.2" x14ac:dyDescent="0.25">
      <c r="A488" s="17"/>
      <c r="B488" s="17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9"/>
      <c r="R488" s="20"/>
      <c r="S488" s="21"/>
      <c r="T488" s="22"/>
    </row>
    <row r="489" spans="1:20" ht="13.2" x14ac:dyDescent="0.25">
      <c r="A489" s="17"/>
      <c r="B489" s="17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9"/>
      <c r="R489" s="20"/>
      <c r="S489" s="21"/>
      <c r="T489" s="22"/>
    </row>
    <row r="490" spans="1:20" ht="13.2" x14ac:dyDescent="0.25">
      <c r="A490" s="17"/>
      <c r="B490" s="17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9"/>
      <c r="R490" s="20"/>
      <c r="S490" s="21"/>
      <c r="T490" s="22"/>
    </row>
    <row r="491" spans="1:20" ht="13.2" x14ac:dyDescent="0.25">
      <c r="A491" s="17"/>
      <c r="B491" s="17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9"/>
      <c r="R491" s="20"/>
      <c r="S491" s="21"/>
      <c r="T491" s="22"/>
    </row>
    <row r="492" spans="1:20" ht="13.2" x14ac:dyDescent="0.25">
      <c r="A492" s="17"/>
      <c r="B492" s="17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9"/>
      <c r="R492" s="20"/>
      <c r="S492" s="21"/>
      <c r="T492" s="22"/>
    </row>
    <row r="493" spans="1:20" ht="13.2" x14ac:dyDescent="0.25">
      <c r="A493" s="17"/>
      <c r="B493" s="17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9"/>
      <c r="R493" s="20"/>
      <c r="S493" s="21"/>
      <c r="T493" s="22"/>
    </row>
    <row r="494" spans="1:20" ht="13.2" x14ac:dyDescent="0.25">
      <c r="A494" s="17"/>
      <c r="B494" s="17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9"/>
      <c r="R494" s="20"/>
      <c r="S494" s="21"/>
      <c r="T494" s="22"/>
    </row>
    <row r="495" spans="1:20" ht="13.2" x14ac:dyDescent="0.25">
      <c r="A495" s="17"/>
      <c r="B495" s="17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9"/>
      <c r="R495" s="20"/>
      <c r="S495" s="21"/>
      <c r="T495" s="22"/>
    </row>
    <row r="496" spans="1:20" ht="13.2" x14ac:dyDescent="0.25">
      <c r="A496" s="17"/>
      <c r="B496" s="17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9"/>
      <c r="R496" s="20"/>
      <c r="S496" s="21"/>
      <c r="T496" s="22"/>
    </row>
    <row r="497" spans="1:20" ht="13.2" x14ac:dyDescent="0.25">
      <c r="A497" s="17"/>
      <c r="B497" s="17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9"/>
      <c r="R497" s="20"/>
      <c r="S497" s="21"/>
      <c r="T497" s="22"/>
    </row>
    <row r="498" spans="1:20" ht="13.2" x14ac:dyDescent="0.25">
      <c r="A498" s="17"/>
      <c r="B498" s="17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9"/>
      <c r="R498" s="20"/>
      <c r="S498" s="21"/>
      <c r="T498" s="22"/>
    </row>
    <row r="499" spans="1:20" ht="13.2" x14ac:dyDescent="0.25">
      <c r="A499" s="17"/>
      <c r="B499" s="17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9"/>
      <c r="R499" s="20"/>
      <c r="S499" s="21"/>
      <c r="T499" s="22"/>
    </row>
    <row r="500" spans="1:20" ht="13.2" x14ac:dyDescent="0.25">
      <c r="A500" s="17"/>
      <c r="B500" s="17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9"/>
      <c r="R500" s="20"/>
      <c r="S500" s="21"/>
      <c r="T500" s="22"/>
    </row>
    <row r="501" spans="1:20" ht="13.2" x14ac:dyDescent="0.25">
      <c r="A501" s="17"/>
      <c r="B501" s="17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9"/>
      <c r="R501" s="20"/>
      <c r="S501" s="21"/>
      <c r="T501" s="22"/>
    </row>
    <row r="502" spans="1:20" ht="13.2" x14ac:dyDescent="0.25">
      <c r="A502" s="17"/>
      <c r="B502" s="17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9"/>
      <c r="R502" s="20"/>
      <c r="S502" s="21"/>
      <c r="T502" s="22"/>
    </row>
    <row r="503" spans="1:20" ht="13.2" x14ac:dyDescent="0.25">
      <c r="A503" s="17"/>
      <c r="B503" s="17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9"/>
      <c r="R503" s="20"/>
      <c r="S503" s="21"/>
      <c r="T503" s="22"/>
    </row>
    <row r="504" spans="1:20" ht="13.2" x14ac:dyDescent="0.25">
      <c r="A504" s="17"/>
      <c r="B504" s="17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9"/>
      <c r="R504" s="20"/>
      <c r="S504" s="21"/>
      <c r="T504" s="22"/>
    </row>
    <row r="505" spans="1:20" ht="13.2" x14ac:dyDescent="0.25">
      <c r="A505" s="17"/>
      <c r="B505" s="17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9"/>
      <c r="R505" s="20"/>
      <c r="S505" s="21"/>
      <c r="T505" s="22"/>
    </row>
    <row r="506" spans="1:20" ht="13.2" x14ac:dyDescent="0.25">
      <c r="A506" s="17"/>
      <c r="B506" s="17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9"/>
      <c r="R506" s="20"/>
      <c r="S506" s="21"/>
      <c r="T506" s="22"/>
    </row>
    <row r="507" spans="1:20" ht="13.2" x14ac:dyDescent="0.25">
      <c r="A507" s="17"/>
      <c r="B507" s="17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9"/>
      <c r="R507" s="20"/>
      <c r="S507" s="21"/>
      <c r="T507" s="22"/>
    </row>
    <row r="508" spans="1:20" ht="13.2" x14ac:dyDescent="0.25">
      <c r="A508" s="17"/>
      <c r="B508" s="17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9"/>
      <c r="R508" s="20"/>
      <c r="S508" s="21"/>
      <c r="T508" s="22"/>
    </row>
    <row r="509" spans="1:20" ht="13.2" x14ac:dyDescent="0.25">
      <c r="A509" s="17"/>
      <c r="B509" s="17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9"/>
      <c r="R509" s="20"/>
      <c r="S509" s="21"/>
      <c r="T509" s="22"/>
    </row>
    <row r="510" spans="1:20" ht="13.2" x14ac:dyDescent="0.25">
      <c r="A510" s="17"/>
      <c r="B510" s="17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9"/>
      <c r="R510" s="20"/>
      <c r="S510" s="21"/>
      <c r="T510" s="22"/>
    </row>
    <row r="511" spans="1:20" ht="13.2" x14ac:dyDescent="0.25">
      <c r="A511" s="17"/>
      <c r="B511" s="17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9"/>
      <c r="R511" s="20"/>
      <c r="S511" s="21"/>
      <c r="T511" s="22"/>
    </row>
    <row r="512" spans="1:20" ht="13.2" x14ac:dyDescent="0.25">
      <c r="A512" s="17"/>
      <c r="B512" s="17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9"/>
      <c r="R512" s="20"/>
      <c r="S512" s="21"/>
      <c r="T512" s="22"/>
    </row>
    <row r="513" spans="1:20" ht="13.2" x14ac:dyDescent="0.25">
      <c r="A513" s="17"/>
      <c r="B513" s="17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9"/>
      <c r="R513" s="20"/>
      <c r="S513" s="21"/>
      <c r="T513" s="22"/>
    </row>
    <row r="514" spans="1:20" ht="13.2" x14ac:dyDescent="0.25">
      <c r="A514" s="17"/>
      <c r="B514" s="17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9"/>
      <c r="R514" s="20"/>
      <c r="S514" s="21"/>
      <c r="T514" s="22"/>
    </row>
    <row r="515" spans="1:20" ht="13.2" x14ac:dyDescent="0.25">
      <c r="A515" s="17"/>
      <c r="B515" s="17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9"/>
      <c r="R515" s="20"/>
      <c r="S515" s="21"/>
      <c r="T515" s="22"/>
    </row>
    <row r="516" spans="1:20" ht="13.2" x14ac:dyDescent="0.25">
      <c r="A516" s="17"/>
      <c r="B516" s="17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9"/>
      <c r="R516" s="20"/>
      <c r="S516" s="21"/>
      <c r="T516" s="22"/>
    </row>
    <row r="517" spans="1:20" ht="13.2" x14ac:dyDescent="0.25">
      <c r="A517" s="17"/>
      <c r="B517" s="17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9"/>
      <c r="R517" s="20"/>
      <c r="S517" s="21"/>
      <c r="T517" s="22"/>
    </row>
    <row r="518" spans="1:20" ht="13.2" x14ac:dyDescent="0.25">
      <c r="A518" s="17"/>
      <c r="B518" s="17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9"/>
      <c r="R518" s="20"/>
      <c r="S518" s="21"/>
      <c r="T518" s="22"/>
    </row>
    <row r="519" spans="1:20" ht="13.2" x14ac:dyDescent="0.25">
      <c r="A519" s="17"/>
      <c r="B519" s="17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9"/>
      <c r="R519" s="20"/>
      <c r="S519" s="21"/>
      <c r="T519" s="22"/>
    </row>
    <row r="520" spans="1:20" ht="13.2" x14ac:dyDescent="0.25">
      <c r="A520" s="17"/>
      <c r="B520" s="17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9"/>
      <c r="R520" s="20"/>
      <c r="S520" s="21"/>
      <c r="T520" s="22"/>
    </row>
    <row r="521" spans="1:20" ht="13.2" x14ac:dyDescent="0.25">
      <c r="A521" s="17"/>
      <c r="B521" s="17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9"/>
      <c r="R521" s="20"/>
      <c r="S521" s="21"/>
      <c r="T521" s="22"/>
    </row>
    <row r="522" spans="1:20" ht="13.2" x14ac:dyDescent="0.25">
      <c r="A522" s="17"/>
      <c r="B522" s="17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9"/>
      <c r="R522" s="20"/>
      <c r="S522" s="21"/>
      <c r="T522" s="22"/>
    </row>
    <row r="523" spans="1:20" ht="13.2" x14ac:dyDescent="0.25">
      <c r="A523" s="17"/>
      <c r="B523" s="17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9"/>
      <c r="R523" s="20"/>
      <c r="S523" s="21"/>
      <c r="T523" s="22"/>
    </row>
    <row r="524" spans="1:20" ht="13.2" x14ac:dyDescent="0.25">
      <c r="A524" s="17"/>
      <c r="B524" s="17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9"/>
      <c r="R524" s="20"/>
      <c r="S524" s="21"/>
      <c r="T524" s="22"/>
    </row>
    <row r="525" spans="1:20" ht="13.2" x14ac:dyDescent="0.25">
      <c r="A525" s="17"/>
      <c r="B525" s="17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9"/>
      <c r="R525" s="20"/>
      <c r="S525" s="21"/>
      <c r="T525" s="22"/>
    </row>
    <row r="526" spans="1:20" ht="13.2" x14ac:dyDescent="0.25">
      <c r="A526" s="17"/>
      <c r="B526" s="17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9"/>
      <c r="R526" s="20"/>
      <c r="S526" s="21"/>
      <c r="T526" s="22"/>
    </row>
    <row r="527" spans="1:20" ht="13.2" x14ac:dyDescent="0.25">
      <c r="A527" s="17"/>
      <c r="B527" s="17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9"/>
      <c r="R527" s="20"/>
      <c r="S527" s="21"/>
      <c r="T527" s="22"/>
    </row>
    <row r="528" spans="1:20" ht="13.2" x14ac:dyDescent="0.25">
      <c r="A528" s="17"/>
      <c r="B528" s="17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9"/>
      <c r="R528" s="20"/>
      <c r="S528" s="21"/>
      <c r="T528" s="22"/>
    </row>
    <row r="529" spans="1:20" ht="13.2" x14ac:dyDescent="0.25">
      <c r="A529" s="17"/>
      <c r="B529" s="17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9"/>
      <c r="R529" s="20"/>
      <c r="S529" s="21"/>
      <c r="T529" s="22"/>
    </row>
    <row r="530" spans="1:20" ht="13.2" x14ac:dyDescent="0.25">
      <c r="A530" s="17"/>
      <c r="B530" s="17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9"/>
      <c r="R530" s="20"/>
      <c r="S530" s="21"/>
      <c r="T530" s="22"/>
    </row>
    <row r="531" spans="1:20" ht="13.2" x14ac:dyDescent="0.25">
      <c r="A531" s="17"/>
      <c r="B531" s="17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9"/>
      <c r="R531" s="20"/>
      <c r="S531" s="21"/>
      <c r="T531" s="22"/>
    </row>
    <row r="532" spans="1:20" ht="13.2" x14ac:dyDescent="0.25">
      <c r="A532" s="17"/>
      <c r="B532" s="17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9"/>
      <c r="R532" s="20"/>
      <c r="S532" s="21"/>
      <c r="T532" s="22"/>
    </row>
    <row r="533" spans="1:20" ht="13.2" x14ac:dyDescent="0.25">
      <c r="A533" s="17"/>
      <c r="B533" s="17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9"/>
      <c r="R533" s="20"/>
      <c r="S533" s="21"/>
      <c r="T533" s="22"/>
    </row>
    <row r="534" spans="1:20" ht="13.2" x14ac:dyDescent="0.25">
      <c r="A534" s="17"/>
      <c r="B534" s="17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9"/>
      <c r="R534" s="20"/>
      <c r="S534" s="21"/>
      <c r="T534" s="22"/>
    </row>
    <row r="535" spans="1:20" ht="13.2" x14ac:dyDescent="0.25">
      <c r="A535" s="17"/>
      <c r="B535" s="17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9"/>
      <c r="R535" s="20"/>
      <c r="S535" s="21"/>
      <c r="T535" s="22"/>
    </row>
    <row r="536" spans="1:20" ht="13.2" x14ac:dyDescent="0.25">
      <c r="A536" s="17"/>
      <c r="B536" s="17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9"/>
      <c r="R536" s="20"/>
      <c r="S536" s="21"/>
      <c r="T536" s="22"/>
    </row>
    <row r="537" spans="1:20" ht="13.2" x14ac:dyDescent="0.25">
      <c r="A537" s="17"/>
      <c r="B537" s="17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9"/>
      <c r="R537" s="20"/>
      <c r="S537" s="21"/>
      <c r="T537" s="22"/>
    </row>
    <row r="538" spans="1:20" ht="13.2" x14ac:dyDescent="0.25">
      <c r="A538" s="17"/>
      <c r="B538" s="17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9"/>
      <c r="R538" s="20"/>
      <c r="S538" s="21"/>
      <c r="T538" s="22"/>
    </row>
    <row r="539" spans="1:20" ht="13.2" x14ac:dyDescent="0.25">
      <c r="A539" s="17"/>
      <c r="B539" s="17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9"/>
      <c r="R539" s="20"/>
      <c r="S539" s="21"/>
      <c r="T539" s="22"/>
    </row>
    <row r="540" spans="1:20" ht="13.2" x14ac:dyDescent="0.25">
      <c r="A540" s="17"/>
      <c r="B540" s="17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9"/>
      <c r="R540" s="20"/>
      <c r="S540" s="21"/>
      <c r="T540" s="22"/>
    </row>
    <row r="541" spans="1:20" ht="13.2" x14ac:dyDescent="0.25">
      <c r="A541" s="17"/>
      <c r="B541" s="17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9"/>
      <c r="R541" s="20"/>
      <c r="S541" s="21"/>
      <c r="T541" s="22"/>
    </row>
    <row r="542" spans="1:20" ht="13.2" x14ac:dyDescent="0.25">
      <c r="A542" s="17"/>
      <c r="B542" s="17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9"/>
      <c r="R542" s="20"/>
      <c r="S542" s="21"/>
      <c r="T542" s="22"/>
    </row>
    <row r="543" spans="1:20" ht="13.2" x14ac:dyDescent="0.25">
      <c r="A543" s="17"/>
      <c r="B543" s="17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9"/>
      <c r="R543" s="20"/>
      <c r="S543" s="21"/>
      <c r="T543" s="22"/>
    </row>
    <row r="544" spans="1:20" ht="13.2" x14ac:dyDescent="0.25">
      <c r="A544" s="17"/>
      <c r="B544" s="17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9"/>
      <c r="R544" s="20"/>
      <c r="S544" s="21"/>
      <c r="T544" s="22"/>
    </row>
    <row r="545" spans="1:20" ht="13.2" x14ac:dyDescent="0.25">
      <c r="A545" s="17"/>
      <c r="B545" s="17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9"/>
      <c r="R545" s="20"/>
      <c r="S545" s="21"/>
      <c r="T545" s="22"/>
    </row>
    <row r="546" spans="1:20" ht="13.2" x14ac:dyDescent="0.25">
      <c r="A546" s="17"/>
      <c r="B546" s="17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9"/>
      <c r="R546" s="20"/>
      <c r="S546" s="21"/>
      <c r="T546" s="22"/>
    </row>
    <row r="547" spans="1:20" ht="13.2" x14ac:dyDescent="0.25">
      <c r="A547" s="17"/>
      <c r="B547" s="17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9"/>
      <c r="R547" s="20"/>
      <c r="S547" s="21"/>
      <c r="T547" s="22"/>
    </row>
    <row r="548" spans="1:20" ht="13.2" x14ac:dyDescent="0.25">
      <c r="A548" s="17"/>
      <c r="B548" s="17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9"/>
      <c r="R548" s="20"/>
      <c r="S548" s="21"/>
      <c r="T548" s="22"/>
    </row>
    <row r="549" spans="1:20" ht="13.2" x14ac:dyDescent="0.25">
      <c r="A549" s="17"/>
      <c r="B549" s="17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9"/>
      <c r="R549" s="20"/>
      <c r="S549" s="21"/>
      <c r="T549" s="22"/>
    </row>
    <row r="550" spans="1:20" ht="13.2" x14ac:dyDescent="0.25">
      <c r="A550" s="17"/>
      <c r="B550" s="17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9"/>
      <c r="R550" s="20"/>
      <c r="S550" s="21"/>
      <c r="T550" s="22"/>
    </row>
    <row r="551" spans="1:20" ht="13.2" x14ac:dyDescent="0.25">
      <c r="A551" s="17"/>
      <c r="B551" s="17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9"/>
      <c r="R551" s="20"/>
      <c r="S551" s="21"/>
      <c r="T551" s="22"/>
    </row>
    <row r="552" spans="1:20" ht="13.2" x14ac:dyDescent="0.25">
      <c r="A552" s="17"/>
      <c r="B552" s="17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9"/>
      <c r="R552" s="20"/>
      <c r="S552" s="21"/>
      <c r="T552" s="22"/>
    </row>
    <row r="553" spans="1:20" ht="13.2" x14ac:dyDescent="0.25">
      <c r="A553" s="17"/>
      <c r="B553" s="17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9"/>
      <c r="R553" s="20"/>
      <c r="S553" s="21"/>
      <c r="T553" s="22"/>
    </row>
    <row r="554" spans="1:20" ht="13.2" x14ac:dyDescent="0.25">
      <c r="A554" s="17"/>
      <c r="B554" s="17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9"/>
      <c r="R554" s="20"/>
      <c r="S554" s="21"/>
      <c r="T554" s="22"/>
    </row>
    <row r="555" spans="1:20" ht="13.2" x14ac:dyDescent="0.25">
      <c r="A555" s="17"/>
      <c r="B555" s="17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9"/>
      <c r="R555" s="20"/>
      <c r="S555" s="21"/>
      <c r="T555" s="22"/>
    </row>
    <row r="556" spans="1:20" ht="13.2" x14ac:dyDescent="0.25">
      <c r="A556" s="17"/>
      <c r="B556" s="17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9"/>
      <c r="R556" s="20"/>
      <c r="S556" s="21"/>
      <c r="T556" s="22"/>
    </row>
    <row r="557" spans="1:20" ht="13.2" x14ac:dyDescent="0.25">
      <c r="A557" s="17"/>
      <c r="B557" s="17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9"/>
      <c r="R557" s="20"/>
      <c r="S557" s="21"/>
      <c r="T557" s="22"/>
    </row>
    <row r="558" spans="1:20" ht="13.2" x14ac:dyDescent="0.25">
      <c r="A558" s="17"/>
      <c r="B558" s="17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9"/>
      <c r="R558" s="20"/>
      <c r="S558" s="21"/>
      <c r="T558" s="22"/>
    </row>
    <row r="559" spans="1:20" ht="13.2" x14ac:dyDescent="0.25">
      <c r="A559" s="17"/>
      <c r="B559" s="17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9"/>
      <c r="R559" s="20"/>
      <c r="S559" s="21"/>
      <c r="T559" s="22"/>
    </row>
    <row r="560" spans="1:20" ht="13.2" x14ac:dyDescent="0.25">
      <c r="A560" s="17"/>
      <c r="B560" s="17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9"/>
      <c r="R560" s="20"/>
      <c r="S560" s="21"/>
      <c r="T560" s="22"/>
    </row>
    <row r="561" spans="1:20" ht="13.2" x14ac:dyDescent="0.25">
      <c r="A561" s="17"/>
      <c r="B561" s="17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9"/>
      <c r="R561" s="20"/>
      <c r="S561" s="21"/>
      <c r="T561" s="22"/>
    </row>
    <row r="562" spans="1:20" ht="13.2" x14ac:dyDescent="0.25">
      <c r="A562" s="17"/>
      <c r="B562" s="17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9"/>
      <c r="R562" s="20"/>
      <c r="S562" s="21"/>
      <c r="T562" s="22"/>
    </row>
    <row r="563" spans="1:20" ht="13.2" x14ac:dyDescent="0.25">
      <c r="A563" s="17"/>
      <c r="B563" s="17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9"/>
      <c r="R563" s="20"/>
      <c r="S563" s="21"/>
      <c r="T563" s="22"/>
    </row>
    <row r="564" spans="1:20" ht="13.2" x14ac:dyDescent="0.25">
      <c r="A564" s="17"/>
      <c r="B564" s="17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9"/>
      <c r="R564" s="20"/>
      <c r="S564" s="21"/>
      <c r="T564" s="22"/>
    </row>
    <row r="565" spans="1:20" ht="13.2" x14ac:dyDescent="0.25">
      <c r="A565" s="17"/>
      <c r="B565" s="17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9"/>
      <c r="R565" s="20"/>
      <c r="S565" s="21"/>
      <c r="T565" s="22"/>
    </row>
    <row r="566" spans="1:20" ht="13.2" x14ac:dyDescent="0.25">
      <c r="A566" s="17"/>
      <c r="B566" s="17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9"/>
      <c r="R566" s="20"/>
      <c r="S566" s="21"/>
      <c r="T566" s="22"/>
    </row>
    <row r="567" spans="1:20" ht="13.2" x14ac:dyDescent="0.25">
      <c r="A567" s="17"/>
      <c r="B567" s="17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9"/>
      <c r="R567" s="20"/>
      <c r="S567" s="21"/>
      <c r="T567" s="22"/>
    </row>
    <row r="568" spans="1:20" ht="13.2" x14ac:dyDescent="0.25">
      <c r="A568" s="17"/>
      <c r="B568" s="17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9"/>
      <c r="R568" s="20"/>
      <c r="S568" s="21"/>
      <c r="T568" s="22"/>
    </row>
    <row r="569" spans="1:20" ht="13.2" x14ac:dyDescent="0.25">
      <c r="A569" s="17"/>
      <c r="B569" s="17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9"/>
      <c r="R569" s="20"/>
      <c r="S569" s="21"/>
      <c r="T569" s="22"/>
    </row>
    <row r="570" spans="1:20" ht="13.2" x14ac:dyDescent="0.25">
      <c r="A570" s="17"/>
      <c r="B570" s="17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9"/>
      <c r="R570" s="20"/>
      <c r="S570" s="21"/>
      <c r="T570" s="22"/>
    </row>
    <row r="571" spans="1:20" ht="13.2" x14ac:dyDescent="0.25">
      <c r="A571" s="17"/>
      <c r="B571" s="17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9"/>
      <c r="R571" s="20"/>
      <c r="S571" s="21"/>
      <c r="T571" s="22"/>
    </row>
    <row r="572" spans="1:20" ht="13.2" x14ac:dyDescent="0.25">
      <c r="A572" s="17"/>
      <c r="B572" s="17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9"/>
      <c r="R572" s="20"/>
      <c r="S572" s="21"/>
      <c r="T572" s="22"/>
    </row>
    <row r="573" spans="1:20" ht="13.2" x14ac:dyDescent="0.25">
      <c r="A573" s="17"/>
      <c r="B573" s="17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9"/>
      <c r="R573" s="20"/>
      <c r="S573" s="21"/>
      <c r="T573" s="22"/>
    </row>
    <row r="574" spans="1:20" ht="13.2" x14ac:dyDescent="0.25">
      <c r="A574" s="17"/>
      <c r="B574" s="17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9"/>
      <c r="R574" s="20"/>
      <c r="S574" s="21"/>
      <c r="T574" s="22"/>
    </row>
    <row r="575" spans="1:20" ht="13.2" x14ac:dyDescent="0.25">
      <c r="A575" s="17"/>
      <c r="B575" s="17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9"/>
      <c r="R575" s="20"/>
      <c r="S575" s="21"/>
      <c r="T575" s="22"/>
    </row>
    <row r="576" spans="1:20" ht="13.2" x14ac:dyDescent="0.25">
      <c r="A576" s="17"/>
      <c r="B576" s="17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9"/>
      <c r="R576" s="20"/>
      <c r="S576" s="21"/>
      <c r="T576" s="22"/>
    </row>
    <row r="577" spans="1:20" ht="13.2" x14ac:dyDescent="0.25">
      <c r="A577" s="17"/>
      <c r="B577" s="17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9"/>
      <c r="R577" s="20"/>
      <c r="S577" s="21"/>
      <c r="T577" s="22"/>
    </row>
    <row r="578" spans="1:20" ht="13.2" x14ac:dyDescent="0.25">
      <c r="A578" s="17"/>
      <c r="B578" s="17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9"/>
      <c r="R578" s="20"/>
      <c r="S578" s="21"/>
      <c r="T578" s="22"/>
    </row>
    <row r="579" spans="1:20" ht="13.2" x14ac:dyDescent="0.25">
      <c r="A579" s="17"/>
      <c r="B579" s="17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9"/>
      <c r="R579" s="20"/>
      <c r="S579" s="21"/>
      <c r="T579" s="22"/>
    </row>
    <row r="580" spans="1:20" ht="13.2" x14ac:dyDescent="0.25">
      <c r="A580" s="17"/>
      <c r="B580" s="17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9"/>
      <c r="R580" s="20"/>
      <c r="S580" s="21"/>
      <c r="T580" s="22"/>
    </row>
    <row r="581" spans="1:20" ht="13.2" x14ac:dyDescent="0.25">
      <c r="A581" s="17"/>
      <c r="B581" s="17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9"/>
      <c r="R581" s="20"/>
      <c r="S581" s="21"/>
      <c r="T581" s="22"/>
    </row>
    <row r="582" spans="1:20" ht="13.2" x14ac:dyDescent="0.25">
      <c r="A582" s="17"/>
      <c r="B582" s="17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9"/>
      <c r="R582" s="20"/>
      <c r="S582" s="21"/>
      <c r="T582" s="22"/>
    </row>
    <row r="583" spans="1:20" ht="13.2" x14ac:dyDescent="0.25">
      <c r="A583" s="17"/>
      <c r="B583" s="17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9"/>
      <c r="R583" s="20"/>
      <c r="S583" s="21"/>
      <c r="T583" s="22"/>
    </row>
    <row r="584" spans="1:20" ht="13.2" x14ac:dyDescent="0.25">
      <c r="A584" s="17"/>
      <c r="B584" s="17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9"/>
      <c r="R584" s="20"/>
      <c r="S584" s="21"/>
      <c r="T584" s="22"/>
    </row>
    <row r="585" spans="1:20" ht="13.2" x14ac:dyDescent="0.25">
      <c r="A585" s="17"/>
      <c r="B585" s="17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9"/>
      <c r="R585" s="20"/>
      <c r="S585" s="21"/>
      <c r="T585" s="22"/>
    </row>
    <row r="586" spans="1:20" ht="13.2" x14ac:dyDescent="0.25">
      <c r="A586" s="17"/>
      <c r="B586" s="17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9"/>
      <c r="R586" s="20"/>
      <c r="S586" s="21"/>
      <c r="T586" s="22"/>
    </row>
    <row r="587" spans="1:20" ht="13.2" x14ac:dyDescent="0.25">
      <c r="A587" s="17"/>
      <c r="B587" s="17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9"/>
      <c r="R587" s="20"/>
      <c r="S587" s="21"/>
      <c r="T587" s="22"/>
    </row>
    <row r="588" spans="1:20" ht="13.2" x14ac:dyDescent="0.25">
      <c r="A588" s="17"/>
      <c r="B588" s="17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9"/>
      <c r="R588" s="20"/>
      <c r="S588" s="21"/>
      <c r="T588" s="22"/>
    </row>
    <row r="589" spans="1:20" ht="13.2" x14ac:dyDescent="0.25">
      <c r="A589" s="17"/>
      <c r="B589" s="17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9"/>
      <c r="R589" s="20"/>
      <c r="S589" s="21"/>
      <c r="T589" s="22"/>
    </row>
    <row r="590" spans="1:20" ht="13.2" x14ac:dyDescent="0.25">
      <c r="A590" s="17"/>
      <c r="B590" s="17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9"/>
      <c r="R590" s="20"/>
      <c r="S590" s="21"/>
      <c r="T590" s="22"/>
    </row>
    <row r="591" spans="1:20" ht="13.2" x14ac:dyDescent="0.25">
      <c r="A591" s="17"/>
      <c r="B591" s="17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9"/>
      <c r="R591" s="20"/>
      <c r="S591" s="21"/>
      <c r="T591" s="22"/>
    </row>
    <row r="592" spans="1:20" ht="13.2" x14ac:dyDescent="0.25">
      <c r="A592" s="17"/>
      <c r="B592" s="17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9"/>
      <c r="R592" s="20"/>
      <c r="S592" s="21"/>
      <c r="T592" s="22"/>
    </row>
    <row r="593" spans="1:20" ht="13.2" x14ac:dyDescent="0.25">
      <c r="A593" s="17"/>
      <c r="B593" s="17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9"/>
      <c r="R593" s="20"/>
      <c r="S593" s="21"/>
      <c r="T593" s="22"/>
    </row>
    <row r="594" spans="1:20" ht="13.2" x14ac:dyDescent="0.25">
      <c r="A594" s="17"/>
      <c r="B594" s="17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9"/>
      <c r="R594" s="20"/>
      <c r="S594" s="21"/>
      <c r="T594" s="22"/>
    </row>
    <row r="595" spans="1:20" ht="13.2" x14ac:dyDescent="0.25">
      <c r="A595" s="17"/>
      <c r="B595" s="17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9"/>
      <c r="R595" s="20"/>
      <c r="S595" s="21"/>
      <c r="T595" s="22"/>
    </row>
    <row r="596" spans="1:20" ht="13.2" x14ac:dyDescent="0.25">
      <c r="A596" s="17"/>
      <c r="B596" s="17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9"/>
      <c r="R596" s="20"/>
      <c r="S596" s="21"/>
      <c r="T596" s="22"/>
    </row>
    <row r="597" spans="1:20" ht="13.2" x14ac:dyDescent="0.25">
      <c r="A597" s="17"/>
      <c r="B597" s="17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9"/>
      <c r="R597" s="20"/>
      <c r="S597" s="21"/>
      <c r="T597" s="22"/>
    </row>
    <row r="598" spans="1:20" ht="13.2" x14ac:dyDescent="0.25">
      <c r="A598" s="17"/>
      <c r="B598" s="17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9"/>
      <c r="R598" s="20"/>
      <c r="S598" s="21"/>
      <c r="T598" s="22"/>
    </row>
    <row r="599" spans="1:20" ht="13.2" x14ac:dyDescent="0.25">
      <c r="A599" s="17"/>
      <c r="B599" s="17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9"/>
      <c r="R599" s="20"/>
      <c r="S599" s="21"/>
      <c r="T599" s="22"/>
    </row>
    <row r="600" spans="1:20" ht="13.2" x14ac:dyDescent="0.25">
      <c r="A600" s="17"/>
      <c r="B600" s="17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9"/>
      <c r="R600" s="20"/>
      <c r="S600" s="21"/>
      <c r="T600" s="22"/>
    </row>
    <row r="601" spans="1:20" ht="13.2" x14ac:dyDescent="0.25">
      <c r="A601" s="17"/>
      <c r="B601" s="17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9"/>
      <c r="R601" s="20"/>
      <c r="S601" s="21"/>
      <c r="T601" s="22"/>
    </row>
    <row r="602" spans="1:20" ht="13.2" x14ac:dyDescent="0.25">
      <c r="A602" s="17"/>
      <c r="B602" s="17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9"/>
      <c r="R602" s="20"/>
      <c r="S602" s="21"/>
      <c r="T602" s="22"/>
    </row>
    <row r="603" spans="1:20" ht="13.2" x14ac:dyDescent="0.25">
      <c r="A603" s="17"/>
      <c r="B603" s="17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9"/>
      <c r="R603" s="20"/>
      <c r="S603" s="21"/>
      <c r="T603" s="22"/>
    </row>
    <row r="604" spans="1:20" ht="13.2" x14ac:dyDescent="0.25">
      <c r="A604" s="17"/>
      <c r="B604" s="17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9"/>
      <c r="R604" s="20"/>
      <c r="S604" s="21"/>
      <c r="T604" s="22"/>
    </row>
    <row r="605" spans="1:20" ht="13.2" x14ac:dyDescent="0.25">
      <c r="A605" s="17"/>
      <c r="B605" s="17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9"/>
      <c r="R605" s="20"/>
      <c r="S605" s="21"/>
      <c r="T605" s="22"/>
    </row>
    <row r="606" spans="1:20" ht="13.2" x14ac:dyDescent="0.25">
      <c r="A606" s="17"/>
      <c r="B606" s="17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9"/>
      <c r="R606" s="20"/>
      <c r="S606" s="21"/>
      <c r="T606" s="22"/>
    </row>
    <row r="607" spans="1:20" ht="13.2" x14ac:dyDescent="0.25">
      <c r="A607" s="17"/>
      <c r="B607" s="17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9"/>
      <c r="R607" s="20"/>
      <c r="S607" s="21"/>
      <c r="T607" s="22"/>
    </row>
    <row r="608" spans="1:20" ht="13.2" x14ac:dyDescent="0.25">
      <c r="A608" s="17"/>
      <c r="B608" s="17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9"/>
      <c r="R608" s="20"/>
      <c r="S608" s="21"/>
      <c r="T608" s="22"/>
    </row>
    <row r="609" spans="1:20" ht="13.2" x14ac:dyDescent="0.25">
      <c r="A609" s="17"/>
      <c r="B609" s="17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9"/>
      <c r="R609" s="20"/>
      <c r="S609" s="21"/>
      <c r="T609" s="22"/>
    </row>
    <row r="610" spans="1:20" ht="13.2" x14ac:dyDescent="0.25">
      <c r="A610" s="17"/>
      <c r="B610" s="17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9"/>
      <c r="R610" s="20"/>
      <c r="S610" s="21"/>
      <c r="T610" s="22"/>
    </row>
    <row r="611" spans="1:20" ht="13.2" x14ac:dyDescent="0.25">
      <c r="A611" s="17"/>
      <c r="B611" s="17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9"/>
      <c r="R611" s="20"/>
      <c r="S611" s="21"/>
      <c r="T611" s="22"/>
    </row>
    <row r="612" spans="1:20" ht="13.2" x14ac:dyDescent="0.25">
      <c r="A612" s="17"/>
      <c r="B612" s="17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9"/>
      <c r="R612" s="20"/>
      <c r="S612" s="21"/>
      <c r="T612" s="22"/>
    </row>
    <row r="613" spans="1:20" ht="13.2" x14ac:dyDescent="0.25">
      <c r="A613" s="17"/>
      <c r="B613" s="17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9"/>
      <c r="R613" s="20"/>
      <c r="S613" s="21"/>
      <c r="T613" s="22"/>
    </row>
    <row r="614" spans="1:20" ht="13.2" x14ac:dyDescent="0.25">
      <c r="A614" s="17"/>
      <c r="B614" s="17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9"/>
      <c r="R614" s="20"/>
      <c r="S614" s="21"/>
      <c r="T614" s="22"/>
    </row>
    <row r="615" spans="1:20" ht="13.2" x14ac:dyDescent="0.25">
      <c r="A615" s="17"/>
      <c r="B615" s="17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9"/>
      <c r="R615" s="20"/>
      <c r="S615" s="21"/>
      <c r="T615" s="22"/>
    </row>
    <row r="616" spans="1:20" ht="13.2" x14ac:dyDescent="0.25">
      <c r="A616" s="17"/>
      <c r="B616" s="17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9"/>
      <c r="R616" s="20"/>
      <c r="S616" s="21"/>
      <c r="T616" s="22"/>
    </row>
    <row r="617" spans="1:20" ht="13.2" x14ac:dyDescent="0.25">
      <c r="A617" s="17"/>
      <c r="B617" s="17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9"/>
      <c r="R617" s="20"/>
      <c r="S617" s="21"/>
      <c r="T617" s="22"/>
    </row>
    <row r="618" spans="1:20" ht="13.2" x14ac:dyDescent="0.25">
      <c r="A618" s="17"/>
      <c r="B618" s="17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9"/>
      <c r="R618" s="20"/>
      <c r="S618" s="21"/>
      <c r="T618" s="22"/>
    </row>
    <row r="619" spans="1:20" ht="13.2" x14ac:dyDescent="0.25">
      <c r="A619" s="17"/>
      <c r="B619" s="17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9"/>
      <c r="R619" s="20"/>
      <c r="S619" s="21"/>
      <c r="T619" s="22"/>
    </row>
    <row r="620" spans="1:20" ht="13.2" x14ac:dyDescent="0.25">
      <c r="A620" s="17"/>
      <c r="B620" s="17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9"/>
      <c r="R620" s="20"/>
      <c r="S620" s="21"/>
      <c r="T620" s="22"/>
    </row>
    <row r="621" spans="1:20" ht="13.2" x14ac:dyDescent="0.25">
      <c r="A621" s="17"/>
      <c r="B621" s="17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9"/>
      <c r="R621" s="20"/>
      <c r="S621" s="21"/>
      <c r="T621" s="22"/>
    </row>
    <row r="622" spans="1:20" ht="13.2" x14ac:dyDescent="0.25">
      <c r="A622" s="17"/>
      <c r="B622" s="17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9"/>
      <c r="R622" s="20"/>
      <c r="S622" s="21"/>
      <c r="T622" s="22"/>
    </row>
    <row r="623" spans="1:20" ht="13.2" x14ac:dyDescent="0.25">
      <c r="A623" s="17"/>
      <c r="B623" s="17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9"/>
      <c r="R623" s="20"/>
      <c r="S623" s="21"/>
      <c r="T623" s="22"/>
    </row>
    <row r="624" spans="1:20" ht="13.2" x14ac:dyDescent="0.25">
      <c r="A624" s="17"/>
      <c r="B624" s="17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9"/>
      <c r="R624" s="20"/>
      <c r="S624" s="21"/>
      <c r="T624" s="22"/>
    </row>
    <row r="625" spans="1:20" ht="13.2" x14ac:dyDescent="0.25">
      <c r="A625" s="17"/>
      <c r="B625" s="17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9"/>
      <c r="R625" s="20"/>
      <c r="S625" s="21"/>
      <c r="T625" s="22"/>
    </row>
    <row r="626" spans="1:20" ht="13.2" x14ac:dyDescent="0.25">
      <c r="A626" s="17"/>
      <c r="B626" s="17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9"/>
      <c r="R626" s="20"/>
      <c r="S626" s="21"/>
      <c r="T626" s="22"/>
    </row>
    <row r="627" spans="1:20" ht="13.2" x14ac:dyDescent="0.25">
      <c r="A627" s="17"/>
      <c r="B627" s="17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9"/>
      <c r="R627" s="20"/>
      <c r="S627" s="21"/>
      <c r="T627" s="22"/>
    </row>
    <row r="628" spans="1:20" ht="13.2" x14ac:dyDescent="0.25">
      <c r="A628" s="17"/>
      <c r="B628" s="17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9"/>
      <c r="R628" s="20"/>
      <c r="S628" s="21"/>
      <c r="T628" s="22"/>
    </row>
    <row r="629" spans="1:20" ht="13.2" x14ac:dyDescent="0.25">
      <c r="A629" s="17"/>
      <c r="B629" s="17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9"/>
      <c r="R629" s="20"/>
      <c r="S629" s="21"/>
      <c r="T629" s="22"/>
    </row>
    <row r="630" spans="1:20" ht="13.2" x14ac:dyDescent="0.25">
      <c r="A630" s="17"/>
      <c r="B630" s="17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9"/>
      <c r="R630" s="20"/>
      <c r="S630" s="21"/>
      <c r="T630" s="22"/>
    </row>
    <row r="631" spans="1:20" ht="13.2" x14ac:dyDescent="0.25">
      <c r="A631" s="17"/>
      <c r="B631" s="17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9"/>
      <c r="R631" s="20"/>
      <c r="S631" s="21"/>
      <c r="T631" s="22"/>
    </row>
    <row r="632" spans="1:20" ht="13.2" x14ac:dyDescent="0.25">
      <c r="A632" s="17"/>
      <c r="B632" s="17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9"/>
      <c r="R632" s="20"/>
      <c r="S632" s="21"/>
      <c r="T632" s="22"/>
    </row>
    <row r="633" spans="1:20" ht="13.2" x14ac:dyDescent="0.25">
      <c r="A633" s="17"/>
      <c r="B633" s="17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9"/>
      <c r="R633" s="20"/>
      <c r="S633" s="21"/>
      <c r="T633" s="22"/>
    </row>
    <row r="634" spans="1:20" ht="13.2" x14ac:dyDescent="0.25">
      <c r="A634" s="17"/>
      <c r="B634" s="17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9"/>
      <c r="R634" s="20"/>
      <c r="S634" s="21"/>
      <c r="T634" s="22"/>
    </row>
    <row r="635" spans="1:20" ht="13.2" x14ac:dyDescent="0.25">
      <c r="A635" s="17"/>
      <c r="B635" s="17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9"/>
      <c r="R635" s="20"/>
      <c r="S635" s="21"/>
      <c r="T635" s="22"/>
    </row>
    <row r="636" spans="1:20" ht="13.2" x14ac:dyDescent="0.25">
      <c r="A636" s="17"/>
      <c r="B636" s="17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9"/>
      <c r="R636" s="20"/>
      <c r="S636" s="21"/>
      <c r="T636" s="22"/>
    </row>
    <row r="637" spans="1:20" ht="13.2" x14ac:dyDescent="0.25">
      <c r="A637" s="17"/>
      <c r="B637" s="17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9"/>
      <c r="R637" s="20"/>
      <c r="S637" s="21"/>
      <c r="T637" s="22"/>
    </row>
    <row r="638" spans="1:20" ht="13.2" x14ac:dyDescent="0.25">
      <c r="A638" s="17"/>
      <c r="B638" s="17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9"/>
      <c r="R638" s="20"/>
      <c r="S638" s="21"/>
      <c r="T638" s="22"/>
    </row>
    <row r="639" spans="1:20" ht="13.2" x14ac:dyDescent="0.25">
      <c r="A639" s="17"/>
      <c r="B639" s="17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9"/>
      <c r="R639" s="20"/>
      <c r="S639" s="21"/>
      <c r="T639" s="22"/>
    </row>
    <row r="640" spans="1:20" ht="13.2" x14ac:dyDescent="0.25">
      <c r="A640" s="17"/>
      <c r="B640" s="17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9"/>
      <c r="R640" s="20"/>
      <c r="S640" s="21"/>
      <c r="T640" s="22"/>
    </row>
    <row r="641" spans="1:20" ht="13.2" x14ac:dyDescent="0.25">
      <c r="A641" s="17"/>
      <c r="B641" s="17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9"/>
      <c r="R641" s="20"/>
      <c r="S641" s="21"/>
      <c r="T641" s="22"/>
    </row>
    <row r="642" spans="1:20" ht="13.2" x14ac:dyDescent="0.25">
      <c r="A642" s="17"/>
      <c r="B642" s="17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9"/>
      <c r="R642" s="20"/>
      <c r="S642" s="21"/>
      <c r="T642" s="22"/>
    </row>
    <row r="643" spans="1:20" ht="13.2" x14ac:dyDescent="0.25">
      <c r="A643" s="17"/>
      <c r="B643" s="17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9"/>
      <c r="R643" s="20"/>
      <c r="S643" s="21"/>
      <c r="T643" s="22"/>
    </row>
    <row r="644" spans="1:20" ht="13.2" x14ac:dyDescent="0.25">
      <c r="A644" s="17"/>
      <c r="B644" s="17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9"/>
      <c r="R644" s="20"/>
      <c r="S644" s="21"/>
      <c r="T644" s="22"/>
    </row>
    <row r="645" spans="1:20" ht="13.2" x14ac:dyDescent="0.25">
      <c r="A645" s="17"/>
      <c r="B645" s="17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9"/>
      <c r="R645" s="20"/>
      <c r="S645" s="21"/>
      <c r="T645" s="22"/>
    </row>
    <row r="646" spans="1:20" ht="13.2" x14ac:dyDescent="0.25">
      <c r="A646" s="17"/>
      <c r="B646" s="17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9"/>
      <c r="R646" s="20"/>
      <c r="S646" s="21"/>
      <c r="T646" s="22"/>
    </row>
    <row r="647" spans="1:20" ht="13.2" x14ac:dyDescent="0.25">
      <c r="A647" s="17"/>
      <c r="B647" s="17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9"/>
      <c r="R647" s="20"/>
      <c r="S647" s="21"/>
      <c r="T647" s="22"/>
    </row>
    <row r="648" spans="1:20" ht="13.2" x14ac:dyDescent="0.25">
      <c r="A648" s="17"/>
      <c r="B648" s="17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9"/>
      <c r="R648" s="20"/>
      <c r="S648" s="21"/>
      <c r="T648" s="22"/>
    </row>
    <row r="649" spans="1:20" ht="13.2" x14ac:dyDescent="0.25">
      <c r="A649" s="17"/>
      <c r="B649" s="17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9"/>
      <c r="R649" s="20"/>
      <c r="S649" s="21"/>
      <c r="T649" s="22"/>
    </row>
    <row r="650" spans="1:20" ht="13.2" x14ac:dyDescent="0.25">
      <c r="A650" s="17"/>
      <c r="B650" s="17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9"/>
      <c r="R650" s="20"/>
      <c r="S650" s="21"/>
      <c r="T650" s="22"/>
    </row>
    <row r="651" spans="1:20" ht="13.2" x14ac:dyDescent="0.25">
      <c r="A651" s="17"/>
      <c r="B651" s="17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9"/>
      <c r="R651" s="20"/>
      <c r="S651" s="21"/>
      <c r="T651" s="22"/>
    </row>
    <row r="652" spans="1:20" ht="13.2" x14ac:dyDescent="0.25">
      <c r="A652" s="17"/>
      <c r="B652" s="17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9"/>
      <c r="R652" s="20"/>
      <c r="S652" s="21"/>
      <c r="T652" s="22"/>
    </row>
    <row r="653" spans="1:20" ht="13.2" x14ac:dyDescent="0.25">
      <c r="A653" s="17"/>
      <c r="B653" s="17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9"/>
      <c r="R653" s="20"/>
      <c r="S653" s="21"/>
      <c r="T653" s="22"/>
    </row>
    <row r="654" spans="1:20" ht="13.2" x14ac:dyDescent="0.25">
      <c r="A654" s="17"/>
      <c r="B654" s="17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9"/>
      <c r="R654" s="20"/>
      <c r="S654" s="21"/>
      <c r="T654" s="22"/>
    </row>
    <row r="655" spans="1:20" ht="13.2" x14ac:dyDescent="0.25">
      <c r="A655" s="17"/>
      <c r="B655" s="17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9"/>
      <c r="R655" s="20"/>
      <c r="S655" s="21"/>
      <c r="T655" s="22"/>
    </row>
    <row r="656" spans="1:20" ht="13.2" x14ac:dyDescent="0.25">
      <c r="A656" s="17"/>
      <c r="B656" s="17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9"/>
      <c r="R656" s="20"/>
      <c r="S656" s="21"/>
      <c r="T656" s="22"/>
    </row>
    <row r="657" spans="1:20" ht="13.2" x14ac:dyDescent="0.25">
      <c r="A657" s="17"/>
      <c r="B657" s="17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9"/>
      <c r="R657" s="20"/>
      <c r="S657" s="21"/>
      <c r="T657" s="22"/>
    </row>
    <row r="658" spans="1:20" ht="13.2" x14ac:dyDescent="0.25">
      <c r="A658" s="17"/>
      <c r="B658" s="17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9"/>
      <c r="R658" s="20"/>
      <c r="S658" s="21"/>
      <c r="T658" s="22"/>
    </row>
    <row r="659" spans="1:20" ht="13.2" x14ac:dyDescent="0.25">
      <c r="A659" s="17"/>
      <c r="B659" s="17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9"/>
      <c r="R659" s="20"/>
      <c r="S659" s="21"/>
      <c r="T659" s="22"/>
    </row>
    <row r="660" spans="1:20" ht="13.2" x14ac:dyDescent="0.25">
      <c r="A660" s="17"/>
      <c r="B660" s="17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9"/>
      <c r="R660" s="20"/>
      <c r="S660" s="21"/>
      <c r="T660" s="22"/>
    </row>
    <row r="661" spans="1:20" ht="13.2" x14ac:dyDescent="0.25">
      <c r="A661" s="17"/>
      <c r="B661" s="17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9"/>
      <c r="R661" s="20"/>
      <c r="S661" s="21"/>
      <c r="T661" s="22"/>
    </row>
    <row r="662" spans="1:20" ht="13.2" x14ac:dyDescent="0.25">
      <c r="A662" s="17"/>
      <c r="B662" s="17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9"/>
      <c r="R662" s="20"/>
      <c r="S662" s="21"/>
      <c r="T662" s="22"/>
    </row>
    <row r="663" spans="1:20" ht="13.2" x14ac:dyDescent="0.25">
      <c r="A663" s="17"/>
      <c r="B663" s="17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9"/>
      <c r="R663" s="20"/>
      <c r="S663" s="21"/>
      <c r="T663" s="22"/>
    </row>
    <row r="664" spans="1:20" ht="13.2" x14ac:dyDescent="0.25">
      <c r="A664" s="17"/>
      <c r="B664" s="17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9"/>
      <c r="R664" s="20"/>
      <c r="S664" s="21"/>
      <c r="T664" s="22"/>
    </row>
    <row r="665" spans="1:20" ht="13.2" x14ac:dyDescent="0.25">
      <c r="A665" s="17"/>
      <c r="B665" s="17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9"/>
      <c r="R665" s="20"/>
      <c r="S665" s="21"/>
      <c r="T665" s="22"/>
    </row>
    <row r="666" spans="1:20" ht="13.2" x14ac:dyDescent="0.25">
      <c r="A666" s="17"/>
      <c r="B666" s="17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9"/>
      <c r="R666" s="20"/>
      <c r="S666" s="21"/>
      <c r="T666" s="22"/>
    </row>
    <row r="667" spans="1:20" ht="13.2" x14ac:dyDescent="0.25">
      <c r="A667" s="17"/>
      <c r="B667" s="17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9"/>
      <c r="R667" s="20"/>
      <c r="S667" s="21"/>
      <c r="T667" s="22"/>
    </row>
    <row r="668" spans="1:20" ht="13.2" x14ac:dyDescent="0.25">
      <c r="A668" s="17"/>
      <c r="B668" s="17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9"/>
      <c r="R668" s="20"/>
      <c r="S668" s="21"/>
      <c r="T668" s="22"/>
    </row>
    <row r="669" spans="1:20" ht="13.2" x14ac:dyDescent="0.25">
      <c r="A669" s="17"/>
      <c r="B669" s="17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9"/>
      <c r="R669" s="20"/>
      <c r="S669" s="21"/>
      <c r="T669" s="22"/>
    </row>
    <row r="670" spans="1:20" ht="13.2" x14ac:dyDescent="0.25">
      <c r="A670" s="17"/>
      <c r="B670" s="17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9"/>
      <c r="R670" s="20"/>
      <c r="S670" s="21"/>
      <c r="T670" s="22"/>
    </row>
    <row r="671" spans="1:20" ht="13.2" x14ac:dyDescent="0.25">
      <c r="A671" s="17"/>
      <c r="B671" s="17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9"/>
      <c r="R671" s="20"/>
      <c r="S671" s="21"/>
      <c r="T671" s="22"/>
    </row>
    <row r="672" spans="1:20" ht="13.2" x14ac:dyDescent="0.25">
      <c r="A672" s="17"/>
      <c r="B672" s="17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9"/>
      <c r="R672" s="20"/>
      <c r="S672" s="21"/>
      <c r="T672" s="22"/>
    </row>
    <row r="673" spans="1:20" ht="13.2" x14ac:dyDescent="0.25">
      <c r="A673" s="17"/>
      <c r="B673" s="17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9"/>
      <c r="R673" s="20"/>
      <c r="S673" s="21"/>
      <c r="T673" s="22"/>
    </row>
    <row r="674" spans="1:20" ht="13.2" x14ac:dyDescent="0.25">
      <c r="A674" s="17"/>
      <c r="B674" s="17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9"/>
      <c r="R674" s="20"/>
      <c r="S674" s="21"/>
      <c r="T674" s="22"/>
    </row>
    <row r="675" spans="1:20" ht="13.2" x14ac:dyDescent="0.25">
      <c r="A675" s="17"/>
      <c r="B675" s="17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9"/>
      <c r="R675" s="20"/>
      <c r="S675" s="21"/>
      <c r="T675" s="22"/>
    </row>
    <row r="676" spans="1:20" ht="13.2" x14ac:dyDescent="0.25">
      <c r="A676" s="17"/>
      <c r="B676" s="17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9"/>
      <c r="R676" s="20"/>
      <c r="S676" s="21"/>
      <c r="T676" s="22"/>
    </row>
    <row r="677" spans="1:20" ht="13.2" x14ac:dyDescent="0.25">
      <c r="A677" s="17"/>
      <c r="B677" s="17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9"/>
      <c r="R677" s="20"/>
      <c r="S677" s="21"/>
      <c r="T677" s="22"/>
    </row>
    <row r="678" spans="1:20" ht="13.2" x14ac:dyDescent="0.25">
      <c r="A678" s="17"/>
      <c r="B678" s="17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9"/>
      <c r="R678" s="20"/>
      <c r="S678" s="21"/>
      <c r="T678" s="22"/>
    </row>
    <row r="679" spans="1:20" ht="13.2" x14ac:dyDescent="0.25">
      <c r="A679" s="17"/>
      <c r="B679" s="17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9"/>
      <c r="R679" s="20"/>
      <c r="S679" s="21"/>
      <c r="T679" s="22"/>
    </row>
    <row r="680" spans="1:20" ht="13.2" x14ac:dyDescent="0.25">
      <c r="A680" s="17"/>
      <c r="B680" s="17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9"/>
      <c r="R680" s="20"/>
      <c r="S680" s="21"/>
      <c r="T680" s="22"/>
    </row>
    <row r="681" spans="1:20" ht="13.2" x14ac:dyDescent="0.25">
      <c r="A681" s="17"/>
      <c r="B681" s="17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9"/>
      <c r="R681" s="20"/>
      <c r="S681" s="21"/>
      <c r="T681" s="22"/>
    </row>
    <row r="682" spans="1:20" ht="13.2" x14ac:dyDescent="0.25">
      <c r="A682" s="17"/>
      <c r="B682" s="17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9"/>
      <c r="R682" s="20"/>
      <c r="S682" s="21"/>
      <c r="T682" s="22"/>
    </row>
    <row r="683" spans="1:20" ht="13.2" x14ac:dyDescent="0.25">
      <c r="A683" s="17"/>
      <c r="B683" s="17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9"/>
      <c r="R683" s="20"/>
      <c r="S683" s="21"/>
      <c r="T683" s="22"/>
    </row>
    <row r="684" spans="1:20" ht="13.2" x14ac:dyDescent="0.25">
      <c r="A684" s="17"/>
      <c r="B684" s="17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9"/>
      <c r="R684" s="20"/>
      <c r="S684" s="21"/>
      <c r="T684" s="22"/>
    </row>
    <row r="685" spans="1:20" ht="13.2" x14ac:dyDescent="0.25">
      <c r="A685" s="17"/>
      <c r="B685" s="17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9"/>
      <c r="R685" s="20"/>
      <c r="S685" s="21"/>
      <c r="T685" s="22"/>
    </row>
    <row r="686" spans="1:20" ht="13.2" x14ac:dyDescent="0.25">
      <c r="A686" s="17"/>
      <c r="B686" s="17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9"/>
      <c r="R686" s="20"/>
      <c r="S686" s="21"/>
      <c r="T686" s="22"/>
    </row>
    <row r="687" spans="1:20" ht="13.2" x14ac:dyDescent="0.25">
      <c r="A687" s="17"/>
      <c r="B687" s="17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9"/>
      <c r="R687" s="20"/>
      <c r="S687" s="21"/>
      <c r="T687" s="22"/>
    </row>
    <row r="688" spans="1:20" ht="13.2" x14ac:dyDescent="0.25">
      <c r="A688" s="17"/>
      <c r="B688" s="17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9"/>
      <c r="R688" s="20"/>
      <c r="S688" s="21"/>
      <c r="T688" s="22"/>
    </row>
    <row r="689" spans="1:20" ht="13.2" x14ac:dyDescent="0.25">
      <c r="A689" s="17"/>
      <c r="B689" s="17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9"/>
      <c r="R689" s="20"/>
      <c r="S689" s="21"/>
      <c r="T689" s="22"/>
    </row>
    <row r="690" spans="1:20" ht="13.2" x14ac:dyDescent="0.25">
      <c r="A690" s="17"/>
      <c r="B690" s="17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9"/>
      <c r="R690" s="20"/>
      <c r="S690" s="21"/>
      <c r="T690" s="22"/>
    </row>
    <row r="691" spans="1:20" ht="13.2" x14ac:dyDescent="0.25">
      <c r="A691" s="17"/>
      <c r="B691" s="17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9"/>
      <c r="R691" s="20"/>
      <c r="S691" s="21"/>
      <c r="T691" s="22"/>
    </row>
    <row r="692" spans="1:20" ht="13.2" x14ac:dyDescent="0.25">
      <c r="A692" s="17"/>
      <c r="B692" s="17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9"/>
      <c r="R692" s="20"/>
      <c r="S692" s="21"/>
      <c r="T692" s="22"/>
    </row>
    <row r="693" spans="1:20" ht="13.2" x14ac:dyDescent="0.25">
      <c r="A693" s="17"/>
      <c r="B693" s="17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9"/>
      <c r="R693" s="20"/>
      <c r="S693" s="21"/>
      <c r="T693" s="22"/>
    </row>
    <row r="694" spans="1:20" ht="13.2" x14ac:dyDescent="0.25">
      <c r="A694" s="17"/>
      <c r="B694" s="17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9"/>
      <c r="R694" s="20"/>
      <c r="S694" s="21"/>
      <c r="T694" s="22"/>
    </row>
    <row r="695" spans="1:20" ht="13.2" x14ac:dyDescent="0.25">
      <c r="A695" s="17"/>
      <c r="B695" s="17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9"/>
      <c r="R695" s="20"/>
      <c r="S695" s="21"/>
      <c r="T695" s="22"/>
    </row>
    <row r="696" spans="1:20" ht="13.2" x14ac:dyDescent="0.25">
      <c r="A696" s="17"/>
      <c r="B696" s="17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9"/>
      <c r="R696" s="20"/>
      <c r="S696" s="21"/>
      <c r="T696" s="22"/>
    </row>
    <row r="697" spans="1:20" ht="13.2" x14ac:dyDescent="0.25">
      <c r="A697" s="17"/>
      <c r="B697" s="17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9"/>
      <c r="R697" s="20"/>
      <c r="S697" s="21"/>
      <c r="T697" s="22"/>
    </row>
    <row r="698" spans="1:20" ht="13.2" x14ac:dyDescent="0.25">
      <c r="A698" s="17"/>
      <c r="B698" s="17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9"/>
      <c r="R698" s="20"/>
      <c r="S698" s="21"/>
      <c r="T698" s="22"/>
    </row>
    <row r="699" spans="1:20" ht="13.2" x14ac:dyDescent="0.25">
      <c r="A699" s="17"/>
      <c r="B699" s="17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9"/>
      <c r="R699" s="20"/>
      <c r="S699" s="21"/>
      <c r="T699" s="22"/>
    </row>
    <row r="700" spans="1:20" ht="13.2" x14ac:dyDescent="0.25">
      <c r="A700" s="17"/>
      <c r="B700" s="17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9"/>
      <c r="R700" s="20"/>
      <c r="S700" s="21"/>
      <c r="T700" s="22"/>
    </row>
    <row r="701" spans="1:20" ht="13.2" x14ac:dyDescent="0.25">
      <c r="A701" s="17"/>
      <c r="B701" s="17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9"/>
      <c r="R701" s="20"/>
      <c r="S701" s="21"/>
      <c r="T701" s="22"/>
    </row>
    <row r="702" spans="1:20" ht="13.2" x14ac:dyDescent="0.25">
      <c r="A702" s="17"/>
      <c r="B702" s="17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9"/>
      <c r="R702" s="20"/>
      <c r="S702" s="21"/>
      <c r="T702" s="22"/>
    </row>
    <row r="703" spans="1:20" ht="13.2" x14ac:dyDescent="0.25">
      <c r="A703" s="17"/>
      <c r="B703" s="17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9"/>
      <c r="R703" s="20"/>
      <c r="S703" s="21"/>
      <c r="T703" s="22"/>
    </row>
    <row r="704" spans="1:20" ht="13.2" x14ac:dyDescent="0.25">
      <c r="A704" s="17"/>
      <c r="B704" s="17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9"/>
      <c r="R704" s="20"/>
      <c r="S704" s="21"/>
      <c r="T704" s="22"/>
    </row>
    <row r="705" spans="1:20" ht="13.2" x14ac:dyDescent="0.25">
      <c r="A705" s="17"/>
      <c r="B705" s="17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9"/>
      <c r="R705" s="20"/>
      <c r="S705" s="21"/>
      <c r="T705" s="22"/>
    </row>
    <row r="706" spans="1:20" ht="13.2" x14ac:dyDescent="0.25">
      <c r="A706" s="17"/>
      <c r="B706" s="17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9"/>
      <c r="R706" s="20"/>
      <c r="S706" s="21"/>
      <c r="T706" s="22"/>
    </row>
    <row r="707" spans="1:20" ht="13.2" x14ac:dyDescent="0.25">
      <c r="A707" s="17"/>
      <c r="B707" s="17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9"/>
      <c r="R707" s="20"/>
      <c r="S707" s="21"/>
      <c r="T707" s="22"/>
    </row>
    <row r="708" spans="1:20" ht="13.2" x14ac:dyDescent="0.25">
      <c r="A708" s="17"/>
      <c r="B708" s="17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9"/>
      <c r="R708" s="20"/>
      <c r="S708" s="21"/>
      <c r="T708" s="22"/>
    </row>
    <row r="709" spans="1:20" ht="13.2" x14ac:dyDescent="0.25">
      <c r="A709" s="17"/>
      <c r="B709" s="17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9"/>
      <c r="R709" s="20"/>
      <c r="S709" s="21"/>
      <c r="T709" s="22"/>
    </row>
    <row r="710" spans="1:20" ht="13.2" x14ac:dyDescent="0.25">
      <c r="A710" s="17"/>
      <c r="B710" s="17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9"/>
      <c r="R710" s="20"/>
      <c r="S710" s="21"/>
      <c r="T710" s="22"/>
    </row>
    <row r="711" spans="1:20" ht="13.2" x14ac:dyDescent="0.25">
      <c r="A711" s="17"/>
      <c r="B711" s="17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9"/>
      <c r="R711" s="20"/>
      <c r="S711" s="21"/>
      <c r="T711" s="22"/>
    </row>
    <row r="712" spans="1:20" ht="13.2" x14ac:dyDescent="0.25">
      <c r="A712" s="17"/>
      <c r="B712" s="17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9"/>
      <c r="R712" s="20"/>
      <c r="S712" s="21"/>
      <c r="T712" s="22"/>
    </row>
    <row r="713" spans="1:20" ht="13.2" x14ac:dyDescent="0.25">
      <c r="A713" s="17"/>
      <c r="B713" s="17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9"/>
      <c r="R713" s="20"/>
      <c r="S713" s="21"/>
      <c r="T713" s="22"/>
    </row>
    <row r="714" spans="1:20" ht="13.2" x14ac:dyDescent="0.25">
      <c r="A714" s="17"/>
      <c r="B714" s="17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9"/>
      <c r="R714" s="20"/>
      <c r="S714" s="21"/>
      <c r="T714" s="22"/>
    </row>
    <row r="715" spans="1:20" ht="13.2" x14ac:dyDescent="0.25">
      <c r="A715" s="17"/>
      <c r="B715" s="17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9"/>
      <c r="R715" s="20"/>
      <c r="S715" s="21"/>
      <c r="T715" s="22"/>
    </row>
    <row r="716" spans="1:20" ht="13.2" x14ac:dyDescent="0.25">
      <c r="A716" s="17"/>
      <c r="B716" s="17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9"/>
      <c r="R716" s="20"/>
      <c r="S716" s="21"/>
      <c r="T716" s="22"/>
    </row>
    <row r="717" spans="1:20" ht="13.2" x14ac:dyDescent="0.25">
      <c r="A717" s="17"/>
      <c r="B717" s="17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9"/>
      <c r="R717" s="20"/>
      <c r="S717" s="21"/>
      <c r="T717" s="22"/>
    </row>
    <row r="718" spans="1:20" ht="13.2" x14ac:dyDescent="0.25">
      <c r="A718" s="17"/>
      <c r="B718" s="17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9"/>
      <c r="R718" s="20"/>
      <c r="S718" s="21"/>
      <c r="T718" s="22"/>
    </row>
    <row r="719" spans="1:20" ht="13.2" x14ac:dyDescent="0.25">
      <c r="A719" s="17"/>
      <c r="B719" s="17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9"/>
      <c r="R719" s="20"/>
      <c r="S719" s="21"/>
      <c r="T719" s="22"/>
    </row>
    <row r="720" spans="1:20" ht="13.2" x14ac:dyDescent="0.25">
      <c r="A720" s="17"/>
      <c r="B720" s="17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9"/>
      <c r="R720" s="20"/>
      <c r="S720" s="21"/>
      <c r="T720" s="22"/>
    </row>
    <row r="721" spans="1:20" ht="13.2" x14ac:dyDescent="0.25">
      <c r="A721" s="17"/>
      <c r="B721" s="17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9"/>
      <c r="R721" s="20"/>
      <c r="S721" s="21"/>
      <c r="T721" s="22"/>
    </row>
    <row r="722" spans="1:20" ht="13.2" x14ac:dyDescent="0.25">
      <c r="A722" s="17"/>
      <c r="B722" s="17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9"/>
      <c r="R722" s="20"/>
      <c r="S722" s="21"/>
      <c r="T722" s="22"/>
    </row>
    <row r="723" spans="1:20" ht="13.2" x14ac:dyDescent="0.25">
      <c r="A723" s="17"/>
      <c r="B723" s="17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9"/>
      <c r="R723" s="20"/>
      <c r="S723" s="21"/>
      <c r="T723" s="22"/>
    </row>
    <row r="724" spans="1:20" ht="13.2" x14ac:dyDescent="0.25">
      <c r="A724" s="17"/>
      <c r="B724" s="17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9"/>
      <c r="R724" s="20"/>
      <c r="S724" s="21"/>
      <c r="T724" s="22"/>
    </row>
    <row r="725" spans="1:20" ht="13.2" x14ac:dyDescent="0.25">
      <c r="A725" s="17"/>
      <c r="B725" s="17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9"/>
      <c r="R725" s="20"/>
      <c r="S725" s="21"/>
      <c r="T725" s="22"/>
    </row>
    <row r="726" spans="1:20" ht="13.2" x14ac:dyDescent="0.25">
      <c r="A726" s="17"/>
      <c r="B726" s="17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9"/>
      <c r="R726" s="20"/>
      <c r="S726" s="21"/>
      <c r="T726" s="22"/>
    </row>
    <row r="727" spans="1:20" ht="13.2" x14ac:dyDescent="0.25">
      <c r="A727" s="17"/>
      <c r="B727" s="17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9"/>
      <c r="R727" s="20"/>
      <c r="S727" s="21"/>
      <c r="T727" s="22"/>
    </row>
    <row r="728" spans="1:20" ht="13.2" x14ac:dyDescent="0.25">
      <c r="A728" s="17"/>
      <c r="B728" s="17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9"/>
      <c r="R728" s="20"/>
      <c r="S728" s="21"/>
      <c r="T728" s="22"/>
    </row>
    <row r="729" spans="1:20" ht="13.2" x14ac:dyDescent="0.25">
      <c r="A729" s="17"/>
      <c r="B729" s="17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9"/>
      <c r="R729" s="20"/>
      <c r="S729" s="21"/>
      <c r="T729" s="22"/>
    </row>
    <row r="730" spans="1:20" ht="13.2" x14ac:dyDescent="0.25">
      <c r="A730" s="17"/>
      <c r="B730" s="17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9"/>
      <c r="R730" s="20"/>
      <c r="S730" s="21"/>
      <c r="T730" s="22"/>
    </row>
    <row r="731" spans="1:20" ht="13.2" x14ac:dyDescent="0.25">
      <c r="A731" s="17"/>
      <c r="B731" s="17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9"/>
      <c r="R731" s="20"/>
      <c r="S731" s="21"/>
      <c r="T731" s="22"/>
    </row>
    <row r="732" spans="1:20" ht="13.2" x14ac:dyDescent="0.25">
      <c r="A732" s="17"/>
      <c r="B732" s="17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9"/>
      <c r="R732" s="20"/>
      <c r="S732" s="21"/>
      <c r="T732" s="22"/>
    </row>
    <row r="733" spans="1:20" ht="13.2" x14ac:dyDescent="0.25">
      <c r="A733" s="17"/>
      <c r="B733" s="17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9"/>
      <c r="R733" s="20"/>
      <c r="S733" s="21"/>
      <c r="T733" s="22"/>
    </row>
    <row r="734" spans="1:20" ht="13.2" x14ac:dyDescent="0.25">
      <c r="A734" s="17"/>
      <c r="B734" s="17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9"/>
      <c r="R734" s="20"/>
      <c r="S734" s="21"/>
      <c r="T734" s="22"/>
    </row>
    <row r="735" spans="1:20" ht="13.2" x14ac:dyDescent="0.25">
      <c r="A735" s="17"/>
      <c r="B735" s="17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9"/>
      <c r="R735" s="20"/>
      <c r="S735" s="21"/>
      <c r="T735" s="22"/>
    </row>
    <row r="736" spans="1:20" ht="13.2" x14ac:dyDescent="0.25">
      <c r="A736" s="17"/>
      <c r="B736" s="17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9"/>
      <c r="R736" s="20"/>
      <c r="S736" s="21"/>
      <c r="T736" s="22"/>
    </row>
    <row r="737" spans="1:20" ht="13.2" x14ac:dyDescent="0.25">
      <c r="A737" s="17"/>
      <c r="B737" s="17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9"/>
      <c r="R737" s="20"/>
      <c r="S737" s="21"/>
      <c r="T737" s="22"/>
    </row>
    <row r="738" spans="1:20" ht="13.2" x14ac:dyDescent="0.25">
      <c r="A738" s="17"/>
      <c r="B738" s="17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9"/>
      <c r="R738" s="20"/>
      <c r="S738" s="21"/>
      <c r="T738" s="22"/>
    </row>
    <row r="739" spans="1:20" ht="13.2" x14ac:dyDescent="0.25">
      <c r="A739" s="17"/>
      <c r="B739" s="17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9"/>
      <c r="R739" s="20"/>
      <c r="S739" s="21"/>
      <c r="T739" s="22"/>
    </row>
    <row r="740" spans="1:20" ht="13.2" x14ac:dyDescent="0.25">
      <c r="A740" s="17"/>
      <c r="B740" s="17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9"/>
      <c r="R740" s="20"/>
      <c r="S740" s="21"/>
      <c r="T740" s="22"/>
    </row>
    <row r="741" spans="1:20" ht="13.2" x14ac:dyDescent="0.25">
      <c r="A741" s="17"/>
      <c r="B741" s="17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9"/>
      <c r="R741" s="20"/>
      <c r="S741" s="21"/>
      <c r="T741" s="22"/>
    </row>
    <row r="742" spans="1:20" ht="13.2" x14ac:dyDescent="0.25">
      <c r="A742" s="17"/>
      <c r="B742" s="17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9"/>
      <c r="R742" s="20"/>
      <c r="S742" s="21"/>
      <c r="T742" s="22"/>
    </row>
    <row r="743" spans="1:20" ht="13.2" x14ac:dyDescent="0.25">
      <c r="A743" s="17"/>
      <c r="B743" s="17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9"/>
      <c r="R743" s="20"/>
      <c r="S743" s="21"/>
      <c r="T743" s="22"/>
    </row>
    <row r="744" spans="1:20" ht="13.2" x14ac:dyDescent="0.25">
      <c r="A744" s="17"/>
      <c r="B744" s="17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9"/>
      <c r="R744" s="20"/>
      <c r="S744" s="21"/>
      <c r="T744" s="22"/>
    </row>
    <row r="745" spans="1:20" ht="13.2" x14ac:dyDescent="0.25">
      <c r="A745" s="17"/>
      <c r="B745" s="17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9"/>
      <c r="R745" s="20"/>
      <c r="S745" s="21"/>
      <c r="T745" s="22"/>
    </row>
    <row r="746" spans="1:20" ht="13.2" x14ac:dyDescent="0.25">
      <c r="A746" s="17"/>
      <c r="B746" s="17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9"/>
      <c r="R746" s="20"/>
      <c r="S746" s="21"/>
      <c r="T746" s="22"/>
    </row>
    <row r="747" spans="1:20" ht="13.2" x14ac:dyDescent="0.25">
      <c r="A747" s="17"/>
      <c r="B747" s="17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9"/>
      <c r="R747" s="20"/>
      <c r="S747" s="21"/>
      <c r="T747" s="22"/>
    </row>
    <row r="748" spans="1:20" ht="13.2" x14ac:dyDescent="0.25">
      <c r="A748" s="17"/>
      <c r="B748" s="17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9"/>
      <c r="R748" s="20"/>
      <c r="S748" s="21"/>
      <c r="T748" s="22"/>
    </row>
    <row r="749" spans="1:20" ht="13.2" x14ac:dyDescent="0.25">
      <c r="A749" s="17"/>
      <c r="B749" s="17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9"/>
      <c r="R749" s="20"/>
      <c r="S749" s="21"/>
      <c r="T749" s="22"/>
    </row>
    <row r="750" spans="1:20" ht="13.2" x14ac:dyDescent="0.25">
      <c r="A750" s="17"/>
      <c r="B750" s="17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9"/>
      <c r="R750" s="20"/>
      <c r="S750" s="21"/>
      <c r="T750" s="22"/>
    </row>
    <row r="751" spans="1:20" ht="13.2" x14ac:dyDescent="0.25">
      <c r="A751" s="17"/>
      <c r="B751" s="17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9"/>
      <c r="R751" s="20"/>
      <c r="S751" s="21"/>
      <c r="T751" s="22"/>
    </row>
    <row r="752" spans="1:20" ht="13.2" x14ac:dyDescent="0.25">
      <c r="A752" s="17"/>
      <c r="B752" s="17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9"/>
      <c r="R752" s="20"/>
      <c r="S752" s="21"/>
      <c r="T752" s="22"/>
    </row>
    <row r="753" spans="1:20" ht="13.2" x14ac:dyDescent="0.25">
      <c r="A753" s="17"/>
      <c r="B753" s="17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9"/>
      <c r="R753" s="20"/>
      <c r="S753" s="21"/>
      <c r="T753" s="22"/>
    </row>
    <row r="754" spans="1:20" ht="13.2" x14ac:dyDescent="0.25">
      <c r="A754" s="17"/>
      <c r="B754" s="17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9"/>
      <c r="R754" s="20"/>
      <c r="S754" s="21"/>
      <c r="T754" s="22"/>
    </row>
    <row r="755" spans="1:20" ht="13.2" x14ac:dyDescent="0.25">
      <c r="A755" s="17"/>
      <c r="B755" s="17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9"/>
      <c r="R755" s="20"/>
      <c r="S755" s="21"/>
      <c r="T755" s="22"/>
    </row>
    <row r="756" spans="1:20" ht="13.2" x14ac:dyDescent="0.25">
      <c r="A756" s="17"/>
      <c r="B756" s="17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9"/>
      <c r="R756" s="20"/>
      <c r="S756" s="21"/>
      <c r="T756" s="22"/>
    </row>
    <row r="757" spans="1:20" ht="13.2" x14ac:dyDescent="0.25">
      <c r="A757" s="17"/>
      <c r="B757" s="17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9"/>
      <c r="R757" s="20"/>
      <c r="S757" s="21"/>
      <c r="T757" s="22"/>
    </row>
    <row r="758" spans="1:20" ht="13.2" x14ac:dyDescent="0.25">
      <c r="A758" s="17"/>
      <c r="B758" s="17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9"/>
      <c r="R758" s="20"/>
      <c r="S758" s="21"/>
      <c r="T758" s="22"/>
    </row>
    <row r="759" spans="1:20" ht="13.2" x14ac:dyDescent="0.25">
      <c r="A759" s="17"/>
      <c r="B759" s="17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9"/>
      <c r="R759" s="20"/>
      <c r="S759" s="21"/>
      <c r="T759" s="22"/>
    </row>
    <row r="760" spans="1:20" ht="13.2" x14ac:dyDescent="0.25">
      <c r="A760" s="17"/>
      <c r="B760" s="17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9"/>
      <c r="R760" s="20"/>
      <c r="S760" s="21"/>
      <c r="T760" s="22"/>
    </row>
    <row r="761" spans="1:20" ht="13.2" x14ac:dyDescent="0.25">
      <c r="A761" s="17"/>
      <c r="B761" s="17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9"/>
      <c r="R761" s="20"/>
      <c r="S761" s="21"/>
      <c r="T761" s="22"/>
    </row>
    <row r="762" spans="1:20" ht="13.2" x14ac:dyDescent="0.25">
      <c r="A762" s="17"/>
      <c r="B762" s="17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9"/>
      <c r="R762" s="20"/>
      <c r="S762" s="21"/>
      <c r="T762" s="22"/>
    </row>
    <row r="763" spans="1:20" ht="13.2" x14ac:dyDescent="0.25">
      <c r="A763" s="17"/>
      <c r="B763" s="17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9"/>
      <c r="R763" s="20"/>
      <c r="S763" s="21"/>
      <c r="T763" s="22"/>
    </row>
    <row r="764" spans="1:20" ht="13.2" x14ac:dyDescent="0.25">
      <c r="A764" s="17"/>
      <c r="B764" s="17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9"/>
      <c r="R764" s="20"/>
      <c r="S764" s="21"/>
      <c r="T764" s="22"/>
    </row>
    <row r="765" spans="1:20" ht="13.2" x14ac:dyDescent="0.25">
      <c r="A765" s="17"/>
      <c r="B765" s="17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9"/>
      <c r="R765" s="20"/>
      <c r="S765" s="21"/>
      <c r="T765" s="22"/>
    </row>
    <row r="766" spans="1:20" ht="13.2" x14ac:dyDescent="0.25">
      <c r="A766" s="17"/>
      <c r="B766" s="17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9"/>
      <c r="R766" s="20"/>
      <c r="S766" s="21"/>
      <c r="T766" s="22"/>
    </row>
    <row r="767" spans="1:20" ht="13.2" x14ac:dyDescent="0.25">
      <c r="A767" s="17"/>
      <c r="B767" s="17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9"/>
      <c r="R767" s="20"/>
      <c r="S767" s="21"/>
      <c r="T767" s="22"/>
    </row>
    <row r="768" spans="1:20" ht="13.2" x14ac:dyDescent="0.25">
      <c r="A768" s="17"/>
      <c r="B768" s="17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9"/>
      <c r="R768" s="20"/>
      <c r="S768" s="21"/>
      <c r="T768" s="22"/>
    </row>
    <row r="769" spans="1:20" ht="13.2" x14ac:dyDescent="0.25">
      <c r="A769" s="17"/>
      <c r="B769" s="17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9"/>
      <c r="R769" s="20"/>
      <c r="S769" s="21"/>
      <c r="T769" s="22"/>
    </row>
    <row r="770" spans="1:20" ht="13.2" x14ac:dyDescent="0.25">
      <c r="A770" s="17"/>
      <c r="B770" s="17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9"/>
      <c r="R770" s="20"/>
      <c r="S770" s="21"/>
      <c r="T770" s="22"/>
    </row>
    <row r="771" spans="1:20" ht="13.2" x14ac:dyDescent="0.25">
      <c r="A771" s="17"/>
      <c r="B771" s="17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9"/>
      <c r="R771" s="20"/>
      <c r="S771" s="21"/>
      <c r="T771" s="22"/>
    </row>
    <row r="772" spans="1:20" ht="13.2" x14ac:dyDescent="0.25">
      <c r="A772" s="17"/>
      <c r="B772" s="17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9"/>
      <c r="R772" s="20"/>
      <c r="S772" s="21"/>
      <c r="T772" s="22"/>
    </row>
    <row r="773" spans="1:20" ht="13.2" x14ac:dyDescent="0.25">
      <c r="A773" s="17"/>
      <c r="B773" s="17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9"/>
      <c r="R773" s="20"/>
      <c r="S773" s="21"/>
      <c r="T773" s="22"/>
    </row>
    <row r="774" spans="1:20" ht="13.2" x14ac:dyDescent="0.25">
      <c r="A774" s="17"/>
      <c r="B774" s="17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9"/>
      <c r="R774" s="20"/>
      <c r="S774" s="21"/>
      <c r="T774" s="22"/>
    </row>
    <row r="775" spans="1:20" ht="13.2" x14ac:dyDescent="0.25">
      <c r="A775" s="17"/>
      <c r="B775" s="17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9"/>
      <c r="R775" s="20"/>
      <c r="S775" s="21"/>
      <c r="T775" s="22"/>
    </row>
    <row r="776" spans="1:20" ht="13.2" x14ac:dyDescent="0.25">
      <c r="A776" s="17"/>
      <c r="B776" s="17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9"/>
      <c r="R776" s="20"/>
      <c r="S776" s="21"/>
      <c r="T776" s="22"/>
    </row>
    <row r="777" spans="1:20" ht="13.2" x14ac:dyDescent="0.25">
      <c r="A777" s="17"/>
      <c r="B777" s="17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9"/>
      <c r="R777" s="20"/>
      <c r="S777" s="21"/>
      <c r="T777" s="22"/>
    </row>
    <row r="778" spans="1:20" ht="13.2" x14ac:dyDescent="0.25">
      <c r="A778" s="17"/>
      <c r="B778" s="17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9"/>
      <c r="R778" s="20"/>
      <c r="S778" s="21"/>
      <c r="T778" s="22"/>
    </row>
    <row r="779" spans="1:20" ht="13.2" x14ac:dyDescent="0.25">
      <c r="A779" s="17"/>
      <c r="B779" s="17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9"/>
      <c r="R779" s="20"/>
      <c r="S779" s="21"/>
      <c r="T779" s="22"/>
    </row>
    <row r="780" spans="1:20" ht="13.2" x14ac:dyDescent="0.25">
      <c r="A780" s="17"/>
      <c r="B780" s="17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9"/>
      <c r="R780" s="20"/>
      <c r="S780" s="21"/>
      <c r="T780" s="22"/>
    </row>
    <row r="781" spans="1:20" ht="13.2" x14ac:dyDescent="0.25">
      <c r="A781" s="17"/>
      <c r="B781" s="17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9"/>
      <c r="R781" s="20"/>
      <c r="S781" s="21"/>
      <c r="T781" s="22"/>
    </row>
    <row r="782" spans="1:20" ht="13.2" x14ac:dyDescent="0.25">
      <c r="A782" s="17"/>
      <c r="B782" s="17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9"/>
      <c r="R782" s="20"/>
      <c r="S782" s="21"/>
      <c r="T782" s="22"/>
    </row>
    <row r="783" spans="1:20" ht="13.2" x14ac:dyDescent="0.25">
      <c r="A783" s="17"/>
      <c r="B783" s="17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9"/>
      <c r="R783" s="20"/>
      <c r="S783" s="21"/>
      <c r="T783" s="22"/>
    </row>
    <row r="784" spans="1:20" ht="13.2" x14ac:dyDescent="0.25">
      <c r="A784" s="17"/>
      <c r="B784" s="17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9"/>
      <c r="R784" s="20"/>
      <c r="S784" s="21"/>
      <c r="T784" s="22"/>
    </row>
    <row r="785" spans="1:20" ht="13.2" x14ac:dyDescent="0.25">
      <c r="A785" s="17"/>
      <c r="B785" s="17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9"/>
      <c r="R785" s="20"/>
      <c r="S785" s="21"/>
      <c r="T785" s="22"/>
    </row>
    <row r="786" spans="1:20" ht="13.2" x14ac:dyDescent="0.25">
      <c r="A786" s="17"/>
      <c r="B786" s="17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9"/>
      <c r="R786" s="20"/>
      <c r="S786" s="21"/>
      <c r="T786" s="22"/>
    </row>
    <row r="787" spans="1:20" ht="13.2" x14ac:dyDescent="0.25">
      <c r="A787" s="17"/>
      <c r="B787" s="17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9"/>
      <c r="R787" s="20"/>
      <c r="S787" s="21"/>
      <c r="T787" s="22"/>
    </row>
    <row r="788" spans="1:20" ht="13.2" x14ac:dyDescent="0.25">
      <c r="A788" s="17"/>
      <c r="B788" s="17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9"/>
      <c r="R788" s="20"/>
      <c r="S788" s="21"/>
      <c r="T788" s="22"/>
    </row>
    <row r="789" spans="1:20" ht="13.2" x14ac:dyDescent="0.25">
      <c r="A789" s="17"/>
      <c r="B789" s="17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9"/>
      <c r="R789" s="20"/>
      <c r="S789" s="21"/>
      <c r="T789" s="22"/>
    </row>
    <row r="790" spans="1:20" ht="13.2" x14ac:dyDescent="0.25">
      <c r="A790" s="17"/>
      <c r="B790" s="17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9"/>
      <c r="R790" s="20"/>
      <c r="S790" s="21"/>
      <c r="T790" s="22"/>
    </row>
    <row r="791" spans="1:20" ht="13.2" x14ac:dyDescent="0.25">
      <c r="A791" s="17"/>
      <c r="B791" s="17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9"/>
      <c r="R791" s="20"/>
      <c r="S791" s="21"/>
      <c r="T791" s="22"/>
    </row>
    <row r="792" spans="1:20" ht="13.2" x14ac:dyDescent="0.25">
      <c r="A792" s="17"/>
      <c r="B792" s="17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9"/>
      <c r="R792" s="20"/>
      <c r="S792" s="21"/>
      <c r="T792" s="22"/>
    </row>
    <row r="793" spans="1:20" ht="13.2" x14ac:dyDescent="0.25">
      <c r="A793" s="17"/>
      <c r="B793" s="17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9"/>
      <c r="R793" s="20"/>
      <c r="S793" s="21"/>
      <c r="T793" s="22"/>
    </row>
    <row r="794" spans="1:20" ht="13.2" x14ac:dyDescent="0.25">
      <c r="A794" s="17"/>
      <c r="B794" s="17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9"/>
      <c r="R794" s="20"/>
      <c r="S794" s="21"/>
      <c r="T794" s="22"/>
    </row>
    <row r="795" spans="1:20" ht="13.2" x14ac:dyDescent="0.25">
      <c r="A795" s="17"/>
      <c r="B795" s="17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9"/>
      <c r="R795" s="20"/>
      <c r="S795" s="21"/>
      <c r="T795" s="22"/>
    </row>
    <row r="796" spans="1:20" ht="13.2" x14ac:dyDescent="0.25">
      <c r="A796" s="17"/>
      <c r="B796" s="17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9"/>
      <c r="R796" s="20"/>
      <c r="S796" s="21"/>
      <c r="T796" s="22"/>
    </row>
    <row r="797" spans="1:20" ht="13.2" x14ac:dyDescent="0.25">
      <c r="A797" s="17"/>
      <c r="B797" s="17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9"/>
      <c r="R797" s="20"/>
      <c r="S797" s="21"/>
      <c r="T797" s="22"/>
    </row>
    <row r="798" spans="1:20" ht="13.2" x14ac:dyDescent="0.25">
      <c r="A798" s="17"/>
      <c r="B798" s="17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9"/>
      <c r="R798" s="20"/>
      <c r="S798" s="21"/>
      <c r="T798" s="22"/>
    </row>
    <row r="799" spans="1:20" ht="13.2" x14ac:dyDescent="0.25">
      <c r="A799" s="17"/>
      <c r="B799" s="17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9"/>
      <c r="R799" s="20"/>
      <c r="S799" s="21"/>
      <c r="T799" s="22"/>
    </row>
    <row r="800" spans="1:20" ht="13.2" x14ac:dyDescent="0.25">
      <c r="A800" s="17"/>
      <c r="B800" s="17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9"/>
      <c r="R800" s="20"/>
      <c r="S800" s="21"/>
      <c r="T800" s="22"/>
    </row>
    <row r="801" spans="1:20" ht="13.2" x14ac:dyDescent="0.25">
      <c r="A801" s="17"/>
      <c r="B801" s="17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9"/>
      <c r="R801" s="20"/>
      <c r="S801" s="21"/>
      <c r="T801" s="22"/>
    </row>
    <row r="802" spans="1:20" ht="13.2" x14ac:dyDescent="0.25">
      <c r="A802" s="17"/>
      <c r="B802" s="17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9"/>
      <c r="R802" s="20"/>
      <c r="S802" s="21"/>
      <c r="T802" s="22"/>
    </row>
    <row r="803" spans="1:20" ht="13.2" x14ac:dyDescent="0.25">
      <c r="A803" s="17"/>
      <c r="B803" s="17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9"/>
      <c r="R803" s="20"/>
      <c r="S803" s="21"/>
      <c r="T803" s="22"/>
    </row>
    <row r="804" spans="1:20" ht="13.2" x14ac:dyDescent="0.25">
      <c r="A804" s="17"/>
      <c r="B804" s="17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9"/>
      <c r="R804" s="20"/>
      <c r="S804" s="21"/>
      <c r="T804" s="22"/>
    </row>
    <row r="805" spans="1:20" ht="13.2" x14ac:dyDescent="0.25">
      <c r="A805" s="17"/>
      <c r="B805" s="17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9"/>
      <c r="R805" s="20"/>
      <c r="S805" s="21"/>
      <c r="T805" s="22"/>
    </row>
    <row r="806" spans="1:20" ht="13.2" x14ac:dyDescent="0.25">
      <c r="A806" s="17"/>
      <c r="B806" s="17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9"/>
      <c r="R806" s="20"/>
      <c r="S806" s="21"/>
      <c r="T806" s="22"/>
    </row>
    <row r="807" spans="1:20" ht="13.2" x14ac:dyDescent="0.25">
      <c r="A807" s="17"/>
      <c r="B807" s="17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9"/>
      <c r="R807" s="20"/>
      <c r="S807" s="21"/>
      <c r="T807" s="22"/>
    </row>
    <row r="808" spans="1:20" ht="13.2" x14ac:dyDescent="0.25">
      <c r="A808" s="17"/>
      <c r="B808" s="17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9"/>
      <c r="R808" s="20"/>
      <c r="S808" s="21"/>
      <c r="T808" s="22"/>
    </row>
    <row r="809" spans="1:20" ht="13.2" x14ac:dyDescent="0.25">
      <c r="A809" s="17"/>
      <c r="B809" s="17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9"/>
      <c r="R809" s="20"/>
      <c r="S809" s="21"/>
      <c r="T809" s="22"/>
    </row>
    <row r="810" spans="1:20" ht="13.2" x14ac:dyDescent="0.25">
      <c r="A810" s="17"/>
      <c r="B810" s="17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9"/>
      <c r="R810" s="20"/>
      <c r="S810" s="21"/>
      <c r="T810" s="22"/>
    </row>
    <row r="811" spans="1:20" ht="13.2" x14ac:dyDescent="0.25">
      <c r="A811" s="17"/>
      <c r="B811" s="17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9"/>
      <c r="R811" s="20"/>
      <c r="S811" s="21"/>
      <c r="T811" s="22"/>
    </row>
    <row r="812" spans="1:20" ht="13.2" x14ac:dyDescent="0.25">
      <c r="A812" s="17"/>
      <c r="B812" s="17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9"/>
      <c r="R812" s="20"/>
      <c r="S812" s="21"/>
      <c r="T812" s="22"/>
    </row>
    <row r="813" spans="1:20" ht="13.2" x14ac:dyDescent="0.25">
      <c r="A813" s="17"/>
      <c r="B813" s="17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9"/>
      <c r="R813" s="20"/>
      <c r="S813" s="21"/>
      <c r="T813" s="22"/>
    </row>
    <row r="814" spans="1:20" ht="13.2" x14ac:dyDescent="0.25">
      <c r="A814" s="17"/>
      <c r="B814" s="17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9"/>
      <c r="R814" s="20"/>
      <c r="S814" s="21"/>
      <c r="T814" s="22"/>
    </row>
    <row r="815" spans="1:20" ht="13.2" x14ac:dyDescent="0.25">
      <c r="A815" s="17"/>
      <c r="B815" s="17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9"/>
      <c r="R815" s="20"/>
      <c r="S815" s="21"/>
      <c r="T815" s="22"/>
    </row>
    <row r="816" spans="1:20" ht="13.2" x14ac:dyDescent="0.25">
      <c r="A816" s="17"/>
      <c r="B816" s="17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9"/>
      <c r="R816" s="20"/>
      <c r="S816" s="21"/>
      <c r="T816" s="22"/>
    </row>
    <row r="817" spans="1:20" ht="13.2" x14ac:dyDescent="0.25">
      <c r="A817" s="17"/>
      <c r="B817" s="17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9"/>
      <c r="R817" s="20"/>
      <c r="S817" s="21"/>
      <c r="T817" s="22"/>
    </row>
    <row r="818" spans="1:20" ht="13.2" x14ac:dyDescent="0.25">
      <c r="A818" s="17"/>
      <c r="B818" s="17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9"/>
      <c r="R818" s="20"/>
      <c r="S818" s="21"/>
      <c r="T818" s="22"/>
    </row>
    <row r="819" spans="1:20" ht="13.2" x14ac:dyDescent="0.25">
      <c r="A819" s="17"/>
      <c r="B819" s="17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9"/>
      <c r="R819" s="20"/>
      <c r="S819" s="21"/>
      <c r="T819" s="22"/>
    </row>
    <row r="820" spans="1:20" ht="13.2" x14ac:dyDescent="0.25">
      <c r="A820" s="17"/>
      <c r="B820" s="17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9"/>
      <c r="R820" s="20"/>
      <c r="S820" s="21"/>
      <c r="T820" s="22"/>
    </row>
    <row r="821" spans="1:20" ht="13.2" x14ac:dyDescent="0.25">
      <c r="A821" s="17"/>
      <c r="B821" s="17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9"/>
      <c r="R821" s="20"/>
      <c r="S821" s="21"/>
      <c r="T821" s="22"/>
    </row>
    <row r="822" spans="1:20" ht="13.2" x14ac:dyDescent="0.25">
      <c r="A822" s="17"/>
      <c r="B822" s="17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9"/>
      <c r="R822" s="20"/>
      <c r="S822" s="21"/>
      <c r="T822" s="22"/>
    </row>
    <row r="823" spans="1:20" ht="13.2" x14ac:dyDescent="0.25">
      <c r="A823" s="17"/>
      <c r="B823" s="17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9"/>
      <c r="R823" s="20"/>
      <c r="S823" s="21"/>
      <c r="T823" s="22"/>
    </row>
    <row r="824" spans="1:20" ht="13.2" x14ac:dyDescent="0.25">
      <c r="A824" s="17"/>
      <c r="B824" s="17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9"/>
      <c r="R824" s="20"/>
      <c r="S824" s="21"/>
      <c r="T824" s="22"/>
    </row>
    <row r="825" spans="1:20" ht="13.2" x14ac:dyDescent="0.25">
      <c r="A825" s="17"/>
      <c r="B825" s="17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9"/>
      <c r="R825" s="20"/>
      <c r="S825" s="21"/>
      <c r="T825" s="22"/>
    </row>
    <row r="826" spans="1:20" ht="13.2" x14ac:dyDescent="0.25">
      <c r="A826" s="17"/>
      <c r="B826" s="17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9"/>
      <c r="R826" s="20"/>
      <c r="S826" s="21"/>
      <c r="T826" s="22"/>
    </row>
    <row r="827" spans="1:20" ht="13.2" x14ac:dyDescent="0.25">
      <c r="A827" s="17"/>
      <c r="B827" s="17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9"/>
      <c r="R827" s="20"/>
      <c r="S827" s="21"/>
      <c r="T827" s="22"/>
    </row>
    <row r="828" spans="1:20" ht="13.2" x14ac:dyDescent="0.25">
      <c r="A828" s="17"/>
      <c r="B828" s="17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9"/>
      <c r="R828" s="20"/>
      <c r="S828" s="21"/>
      <c r="T828" s="22"/>
    </row>
    <row r="829" spans="1:20" ht="13.2" x14ac:dyDescent="0.25">
      <c r="A829" s="17"/>
      <c r="B829" s="17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9"/>
      <c r="R829" s="20"/>
      <c r="S829" s="21"/>
      <c r="T829" s="22"/>
    </row>
    <row r="830" spans="1:20" ht="13.2" x14ac:dyDescent="0.25">
      <c r="A830" s="17"/>
      <c r="B830" s="17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9"/>
      <c r="R830" s="20"/>
      <c r="S830" s="21"/>
      <c r="T830" s="22"/>
    </row>
    <row r="831" spans="1:20" ht="13.2" x14ac:dyDescent="0.25">
      <c r="A831" s="17"/>
      <c r="B831" s="17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9"/>
      <c r="R831" s="20"/>
      <c r="S831" s="21"/>
      <c r="T831" s="22"/>
    </row>
    <row r="832" spans="1:20" ht="13.2" x14ac:dyDescent="0.25">
      <c r="A832" s="17"/>
      <c r="B832" s="17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9"/>
      <c r="R832" s="20"/>
      <c r="S832" s="21"/>
      <c r="T832" s="22"/>
    </row>
    <row r="833" spans="1:20" ht="13.2" x14ac:dyDescent="0.25">
      <c r="A833" s="17"/>
      <c r="B833" s="17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9"/>
      <c r="R833" s="20"/>
      <c r="S833" s="21"/>
      <c r="T833" s="22"/>
    </row>
    <row r="834" spans="1:20" ht="13.2" x14ac:dyDescent="0.25">
      <c r="A834" s="17"/>
      <c r="B834" s="17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9"/>
      <c r="R834" s="20"/>
      <c r="S834" s="21"/>
      <c r="T834" s="22"/>
    </row>
    <row r="835" spans="1:20" ht="13.2" x14ac:dyDescent="0.25">
      <c r="A835" s="17"/>
      <c r="B835" s="17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9"/>
      <c r="R835" s="20"/>
      <c r="S835" s="21"/>
      <c r="T835" s="22"/>
    </row>
    <row r="836" spans="1:20" ht="13.2" x14ac:dyDescent="0.25">
      <c r="A836" s="17"/>
      <c r="B836" s="17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9"/>
      <c r="R836" s="20"/>
      <c r="S836" s="21"/>
      <c r="T836" s="22"/>
    </row>
    <row r="837" spans="1:20" ht="13.2" x14ac:dyDescent="0.25">
      <c r="A837" s="17"/>
      <c r="B837" s="17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9"/>
      <c r="R837" s="20"/>
      <c r="S837" s="21"/>
      <c r="T837" s="22"/>
    </row>
    <row r="838" spans="1:20" ht="13.2" x14ac:dyDescent="0.25">
      <c r="A838" s="17"/>
      <c r="B838" s="17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9"/>
      <c r="R838" s="20"/>
      <c r="S838" s="21"/>
      <c r="T838" s="22"/>
    </row>
    <row r="839" spans="1:20" ht="13.2" x14ac:dyDescent="0.25">
      <c r="A839" s="17"/>
      <c r="B839" s="17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9"/>
      <c r="R839" s="20"/>
      <c r="S839" s="21"/>
      <c r="T839" s="22"/>
    </row>
    <row r="840" spans="1:20" ht="13.2" x14ac:dyDescent="0.25">
      <c r="A840" s="17"/>
      <c r="B840" s="17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9"/>
      <c r="R840" s="20"/>
      <c r="S840" s="21"/>
      <c r="T840" s="22"/>
    </row>
    <row r="841" spans="1:20" ht="13.2" x14ac:dyDescent="0.25">
      <c r="A841" s="17"/>
      <c r="B841" s="17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9"/>
      <c r="R841" s="20"/>
      <c r="S841" s="21"/>
      <c r="T841" s="22"/>
    </row>
    <row r="842" spans="1:20" ht="13.2" x14ac:dyDescent="0.25">
      <c r="A842" s="17"/>
      <c r="B842" s="17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9"/>
      <c r="R842" s="20"/>
      <c r="S842" s="21"/>
      <c r="T842" s="22"/>
    </row>
    <row r="843" spans="1:20" ht="13.2" x14ac:dyDescent="0.25">
      <c r="A843" s="17"/>
      <c r="B843" s="17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9"/>
      <c r="R843" s="20"/>
      <c r="S843" s="21"/>
      <c r="T843" s="22"/>
    </row>
    <row r="844" spans="1:20" ht="13.2" x14ac:dyDescent="0.25">
      <c r="A844" s="17"/>
      <c r="B844" s="17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9"/>
      <c r="R844" s="20"/>
      <c r="S844" s="21"/>
      <c r="T844" s="22"/>
    </row>
    <row r="845" spans="1:20" ht="13.2" x14ac:dyDescent="0.25">
      <c r="A845" s="17"/>
      <c r="B845" s="17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9"/>
      <c r="R845" s="20"/>
      <c r="S845" s="21"/>
      <c r="T845" s="22"/>
    </row>
    <row r="846" spans="1:20" ht="13.2" x14ac:dyDescent="0.25">
      <c r="A846" s="17"/>
      <c r="B846" s="17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9"/>
      <c r="R846" s="20"/>
      <c r="S846" s="21"/>
      <c r="T846" s="22"/>
    </row>
    <row r="847" spans="1:20" ht="13.2" x14ac:dyDescent="0.25">
      <c r="A847" s="17"/>
      <c r="B847" s="17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9"/>
      <c r="R847" s="20"/>
      <c r="S847" s="21"/>
      <c r="T847" s="22"/>
    </row>
    <row r="848" spans="1:20" ht="13.2" x14ac:dyDescent="0.25">
      <c r="A848" s="17"/>
      <c r="B848" s="17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9"/>
      <c r="R848" s="20"/>
      <c r="S848" s="21"/>
      <c r="T848" s="22"/>
    </row>
    <row r="849" spans="1:20" ht="13.2" x14ac:dyDescent="0.25">
      <c r="A849" s="17"/>
      <c r="B849" s="17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9"/>
      <c r="R849" s="20"/>
      <c r="S849" s="21"/>
      <c r="T849" s="22"/>
    </row>
    <row r="850" spans="1:20" ht="13.2" x14ac:dyDescent="0.25">
      <c r="A850" s="17"/>
      <c r="B850" s="17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9"/>
      <c r="R850" s="20"/>
      <c r="S850" s="21"/>
      <c r="T850" s="22"/>
    </row>
    <row r="851" spans="1:20" ht="13.2" x14ac:dyDescent="0.25">
      <c r="A851" s="17"/>
      <c r="B851" s="17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9"/>
      <c r="R851" s="20"/>
      <c r="S851" s="21"/>
      <c r="T851" s="22"/>
    </row>
    <row r="852" spans="1:20" ht="13.2" x14ac:dyDescent="0.25">
      <c r="A852" s="17"/>
      <c r="B852" s="17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9"/>
      <c r="R852" s="20"/>
      <c r="S852" s="21"/>
      <c r="T852" s="22"/>
    </row>
    <row r="853" spans="1:20" ht="13.2" x14ac:dyDescent="0.25">
      <c r="A853" s="17"/>
      <c r="B853" s="17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9"/>
      <c r="R853" s="20"/>
      <c r="S853" s="21"/>
      <c r="T853" s="22"/>
    </row>
    <row r="854" spans="1:20" ht="13.2" x14ac:dyDescent="0.25">
      <c r="A854" s="17"/>
      <c r="B854" s="17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9"/>
      <c r="R854" s="20"/>
      <c r="S854" s="21"/>
      <c r="T854" s="22"/>
    </row>
    <row r="855" spans="1:20" ht="13.2" x14ac:dyDescent="0.25">
      <c r="A855" s="17"/>
      <c r="B855" s="17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9"/>
      <c r="R855" s="20"/>
      <c r="S855" s="21"/>
      <c r="T855" s="22"/>
    </row>
    <row r="856" spans="1:20" ht="13.2" x14ac:dyDescent="0.25">
      <c r="A856" s="17"/>
      <c r="B856" s="17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9"/>
      <c r="R856" s="20"/>
      <c r="S856" s="21"/>
      <c r="T856" s="22"/>
    </row>
    <row r="857" spans="1:20" ht="13.2" x14ac:dyDescent="0.25">
      <c r="A857" s="17"/>
      <c r="B857" s="17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9"/>
      <c r="R857" s="20"/>
      <c r="S857" s="21"/>
      <c r="T857" s="22"/>
    </row>
    <row r="858" spans="1:20" ht="13.2" x14ac:dyDescent="0.25">
      <c r="A858" s="17"/>
      <c r="B858" s="17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9"/>
      <c r="R858" s="20"/>
      <c r="S858" s="21"/>
      <c r="T858" s="22"/>
    </row>
    <row r="859" spans="1:20" ht="13.2" x14ac:dyDescent="0.25">
      <c r="A859" s="17"/>
      <c r="B859" s="17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9"/>
      <c r="R859" s="20"/>
      <c r="S859" s="21"/>
      <c r="T859" s="22"/>
    </row>
    <row r="860" spans="1:20" ht="13.2" x14ac:dyDescent="0.25">
      <c r="A860" s="17"/>
      <c r="B860" s="17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9"/>
      <c r="R860" s="20"/>
      <c r="S860" s="21"/>
      <c r="T860" s="22"/>
    </row>
    <row r="861" spans="1:20" ht="13.2" x14ac:dyDescent="0.25">
      <c r="A861" s="17"/>
      <c r="B861" s="17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9"/>
      <c r="R861" s="20"/>
      <c r="S861" s="21"/>
      <c r="T861" s="22"/>
    </row>
    <row r="862" spans="1:20" ht="13.2" x14ac:dyDescent="0.25">
      <c r="A862" s="17"/>
      <c r="B862" s="17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9"/>
      <c r="R862" s="20"/>
      <c r="S862" s="21"/>
      <c r="T862" s="22"/>
    </row>
    <row r="863" spans="1:20" ht="13.2" x14ac:dyDescent="0.25">
      <c r="A863" s="17"/>
      <c r="B863" s="17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9"/>
      <c r="R863" s="20"/>
      <c r="S863" s="21"/>
      <c r="T863" s="22"/>
    </row>
    <row r="864" spans="1:20" ht="13.2" x14ac:dyDescent="0.25">
      <c r="A864" s="17"/>
      <c r="B864" s="17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9"/>
      <c r="R864" s="20"/>
      <c r="S864" s="21"/>
      <c r="T864" s="22"/>
    </row>
    <row r="865" spans="1:20" ht="13.2" x14ac:dyDescent="0.25">
      <c r="A865" s="17"/>
      <c r="B865" s="17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9"/>
      <c r="R865" s="20"/>
      <c r="S865" s="21"/>
      <c r="T865" s="22"/>
    </row>
    <row r="866" spans="1:20" ht="13.2" x14ac:dyDescent="0.25">
      <c r="A866" s="17"/>
      <c r="B866" s="17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9"/>
      <c r="R866" s="20"/>
      <c r="S866" s="21"/>
      <c r="T866" s="22"/>
    </row>
    <row r="867" spans="1:20" ht="13.2" x14ac:dyDescent="0.25">
      <c r="A867" s="17"/>
      <c r="B867" s="17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9"/>
      <c r="R867" s="20"/>
      <c r="S867" s="21"/>
      <c r="T867" s="22"/>
    </row>
    <row r="868" spans="1:20" ht="13.2" x14ac:dyDescent="0.25">
      <c r="A868" s="17"/>
      <c r="B868" s="17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9"/>
      <c r="R868" s="20"/>
      <c r="S868" s="21"/>
      <c r="T868" s="22"/>
    </row>
    <row r="869" spans="1:20" ht="13.2" x14ac:dyDescent="0.25">
      <c r="A869" s="17"/>
      <c r="B869" s="17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9"/>
      <c r="R869" s="20"/>
      <c r="S869" s="21"/>
      <c r="T869" s="22"/>
    </row>
    <row r="870" spans="1:20" ht="13.2" x14ac:dyDescent="0.25">
      <c r="A870" s="17"/>
      <c r="B870" s="17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9"/>
      <c r="R870" s="20"/>
      <c r="S870" s="21"/>
      <c r="T870" s="22"/>
    </row>
    <row r="871" spans="1:20" ht="13.2" x14ac:dyDescent="0.25">
      <c r="A871" s="17"/>
      <c r="B871" s="17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9"/>
      <c r="R871" s="20"/>
      <c r="S871" s="21"/>
      <c r="T871" s="22"/>
    </row>
    <row r="872" spans="1:20" ht="13.2" x14ac:dyDescent="0.25">
      <c r="A872" s="17"/>
      <c r="B872" s="17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9"/>
      <c r="R872" s="20"/>
      <c r="S872" s="21"/>
      <c r="T872" s="22"/>
    </row>
    <row r="873" spans="1:20" ht="13.2" x14ac:dyDescent="0.25">
      <c r="A873" s="17"/>
      <c r="B873" s="17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9"/>
      <c r="R873" s="20"/>
      <c r="S873" s="21"/>
      <c r="T873" s="22"/>
    </row>
    <row r="874" spans="1:20" ht="13.2" x14ac:dyDescent="0.25">
      <c r="A874" s="17"/>
      <c r="B874" s="17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9"/>
      <c r="R874" s="20"/>
      <c r="S874" s="21"/>
      <c r="T874" s="22"/>
    </row>
    <row r="875" spans="1:20" ht="13.2" x14ac:dyDescent="0.25">
      <c r="A875" s="17"/>
      <c r="B875" s="17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9"/>
      <c r="R875" s="20"/>
      <c r="S875" s="21"/>
      <c r="T875" s="22"/>
    </row>
    <row r="876" spans="1:20" ht="13.2" x14ac:dyDescent="0.25">
      <c r="A876" s="17"/>
      <c r="B876" s="17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9"/>
      <c r="R876" s="20"/>
      <c r="S876" s="21"/>
      <c r="T876" s="22"/>
    </row>
    <row r="877" spans="1:20" ht="13.2" x14ac:dyDescent="0.25">
      <c r="A877" s="17"/>
      <c r="B877" s="17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9"/>
      <c r="R877" s="20"/>
      <c r="S877" s="21"/>
      <c r="T877" s="22"/>
    </row>
    <row r="878" spans="1:20" ht="13.2" x14ac:dyDescent="0.25">
      <c r="A878" s="17"/>
      <c r="B878" s="17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9"/>
      <c r="R878" s="20"/>
      <c r="S878" s="21"/>
      <c r="T878" s="22"/>
    </row>
    <row r="879" spans="1:20" ht="13.2" x14ac:dyDescent="0.25">
      <c r="A879" s="17"/>
      <c r="B879" s="17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9"/>
      <c r="R879" s="20"/>
      <c r="S879" s="21"/>
      <c r="T879" s="22"/>
    </row>
    <row r="880" spans="1:20" ht="13.2" x14ac:dyDescent="0.25">
      <c r="A880" s="17"/>
      <c r="B880" s="17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9"/>
      <c r="R880" s="20"/>
      <c r="S880" s="21"/>
      <c r="T880" s="22"/>
    </row>
    <row r="881" spans="1:20" ht="13.2" x14ac:dyDescent="0.25">
      <c r="A881" s="17"/>
      <c r="B881" s="17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9"/>
      <c r="R881" s="20"/>
      <c r="S881" s="21"/>
      <c r="T881" s="22"/>
    </row>
    <row r="882" spans="1:20" ht="13.2" x14ac:dyDescent="0.25">
      <c r="A882" s="17"/>
      <c r="B882" s="17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9"/>
      <c r="R882" s="20"/>
      <c r="S882" s="21"/>
      <c r="T882" s="22"/>
    </row>
    <row r="883" spans="1:20" ht="13.2" x14ac:dyDescent="0.25">
      <c r="A883" s="17"/>
      <c r="B883" s="17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9"/>
      <c r="R883" s="20"/>
      <c r="S883" s="21"/>
      <c r="T883" s="22"/>
    </row>
    <row r="884" spans="1:20" ht="13.2" x14ac:dyDescent="0.25">
      <c r="A884" s="17"/>
      <c r="B884" s="17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9"/>
      <c r="R884" s="20"/>
      <c r="S884" s="21"/>
      <c r="T884" s="22"/>
    </row>
    <row r="885" spans="1:20" ht="13.2" x14ac:dyDescent="0.25">
      <c r="A885" s="17"/>
      <c r="B885" s="17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9"/>
      <c r="R885" s="20"/>
      <c r="S885" s="21"/>
      <c r="T885" s="22"/>
    </row>
    <row r="886" spans="1:20" ht="13.2" x14ac:dyDescent="0.25">
      <c r="A886" s="17"/>
      <c r="B886" s="17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9"/>
      <c r="R886" s="20"/>
      <c r="S886" s="21"/>
      <c r="T886" s="22"/>
    </row>
    <row r="887" spans="1:20" ht="13.2" x14ac:dyDescent="0.25">
      <c r="A887" s="17"/>
      <c r="B887" s="17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9"/>
      <c r="R887" s="20"/>
      <c r="S887" s="21"/>
      <c r="T887" s="22"/>
    </row>
    <row r="888" spans="1:20" ht="13.2" x14ac:dyDescent="0.25">
      <c r="A888" s="17"/>
      <c r="B888" s="17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9"/>
      <c r="R888" s="20"/>
      <c r="S888" s="21"/>
      <c r="T888" s="22"/>
    </row>
    <row r="889" spans="1:20" ht="13.2" x14ac:dyDescent="0.25">
      <c r="A889" s="17"/>
      <c r="B889" s="17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9"/>
      <c r="R889" s="20"/>
      <c r="S889" s="21"/>
      <c r="T889" s="22"/>
    </row>
    <row r="890" spans="1:20" ht="13.2" x14ac:dyDescent="0.25">
      <c r="A890" s="17"/>
      <c r="B890" s="17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9"/>
      <c r="R890" s="20"/>
      <c r="S890" s="21"/>
      <c r="T890" s="22"/>
    </row>
    <row r="891" spans="1:20" ht="13.2" x14ac:dyDescent="0.25">
      <c r="A891" s="17"/>
      <c r="B891" s="17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9"/>
      <c r="R891" s="20"/>
      <c r="S891" s="21"/>
      <c r="T891" s="22"/>
    </row>
    <row r="892" spans="1:20" ht="13.2" x14ac:dyDescent="0.25">
      <c r="A892" s="17"/>
      <c r="B892" s="17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9"/>
      <c r="R892" s="20"/>
      <c r="S892" s="21"/>
      <c r="T892" s="22"/>
    </row>
    <row r="893" spans="1:20" ht="13.2" x14ac:dyDescent="0.25">
      <c r="A893" s="17"/>
      <c r="B893" s="17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9"/>
      <c r="R893" s="20"/>
      <c r="S893" s="21"/>
      <c r="T893" s="22"/>
    </row>
    <row r="894" spans="1:20" ht="13.2" x14ac:dyDescent="0.25">
      <c r="A894" s="17"/>
      <c r="B894" s="17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9"/>
      <c r="R894" s="20"/>
      <c r="S894" s="21"/>
      <c r="T894" s="22"/>
    </row>
    <row r="895" spans="1:20" ht="13.2" x14ac:dyDescent="0.25">
      <c r="A895" s="17"/>
      <c r="B895" s="17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9"/>
      <c r="R895" s="20"/>
      <c r="S895" s="21"/>
      <c r="T895" s="22"/>
    </row>
    <row r="896" spans="1:20" ht="13.2" x14ac:dyDescent="0.25">
      <c r="A896" s="17"/>
      <c r="B896" s="17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9"/>
      <c r="R896" s="20"/>
      <c r="S896" s="21"/>
      <c r="T896" s="22"/>
    </row>
    <row r="897" spans="1:20" ht="13.2" x14ac:dyDescent="0.25">
      <c r="A897" s="17"/>
      <c r="B897" s="17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9"/>
      <c r="R897" s="20"/>
      <c r="S897" s="21"/>
      <c r="T897" s="22"/>
    </row>
    <row r="898" spans="1:20" ht="13.2" x14ac:dyDescent="0.25">
      <c r="A898" s="17"/>
      <c r="B898" s="17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9"/>
      <c r="R898" s="20"/>
      <c r="S898" s="21"/>
      <c r="T898" s="22"/>
    </row>
    <row r="899" spans="1:20" ht="13.2" x14ac:dyDescent="0.25">
      <c r="A899" s="17"/>
      <c r="B899" s="17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9"/>
      <c r="R899" s="20"/>
      <c r="S899" s="21"/>
      <c r="T899" s="22"/>
    </row>
    <row r="900" spans="1:20" ht="13.2" x14ac:dyDescent="0.25">
      <c r="A900" s="17"/>
      <c r="B900" s="17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9"/>
      <c r="R900" s="20"/>
      <c r="S900" s="21"/>
      <c r="T900" s="22"/>
    </row>
    <row r="901" spans="1:20" ht="13.2" x14ac:dyDescent="0.25">
      <c r="A901" s="17"/>
      <c r="B901" s="17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9"/>
      <c r="R901" s="20"/>
      <c r="S901" s="21"/>
      <c r="T901" s="22"/>
    </row>
    <row r="902" spans="1:20" ht="13.2" x14ac:dyDescent="0.25">
      <c r="A902" s="17"/>
      <c r="B902" s="17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9"/>
      <c r="R902" s="20"/>
      <c r="S902" s="21"/>
      <c r="T902" s="22"/>
    </row>
    <row r="903" spans="1:20" ht="13.2" x14ac:dyDescent="0.25">
      <c r="A903" s="17"/>
      <c r="B903" s="17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9"/>
      <c r="R903" s="20"/>
      <c r="S903" s="21"/>
      <c r="T903" s="22"/>
    </row>
    <row r="904" spans="1:20" ht="13.2" x14ac:dyDescent="0.25">
      <c r="A904" s="17"/>
      <c r="B904" s="17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9"/>
      <c r="R904" s="20"/>
      <c r="S904" s="21"/>
      <c r="T904" s="22"/>
    </row>
    <row r="905" spans="1:20" ht="13.2" x14ac:dyDescent="0.25">
      <c r="A905" s="17"/>
      <c r="B905" s="17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9"/>
      <c r="R905" s="20"/>
      <c r="S905" s="21"/>
      <c r="T905" s="22"/>
    </row>
    <row r="906" spans="1:20" ht="13.2" x14ac:dyDescent="0.25">
      <c r="A906" s="17"/>
      <c r="B906" s="17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9"/>
      <c r="R906" s="20"/>
      <c r="S906" s="21"/>
      <c r="T906" s="22"/>
    </row>
    <row r="907" spans="1:20" ht="13.2" x14ac:dyDescent="0.25">
      <c r="A907" s="17"/>
      <c r="B907" s="17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9"/>
      <c r="R907" s="20"/>
      <c r="S907" s="21"/>
      <c r="T907" s="22"/>
    </row>
    <row r="908" spans="1:20" ht="13.2" x14ac:dyDescent="0.25">
      <c r="A908" s="17"/>
      <c r="B908" s="17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9"/>
      <c r="R908" s="20"/>
      <c r="S908" s="21"/>
      <c r="T908" s="22"/>
    </row>
    <row r="909" spans="1:20" ht="13.2" x14ac:dyDescent="0.25">
      <c r="A909" s="17"/>
      <c r="B909" s="17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9"/>
      <c r="R909" s="20"/>
      <c r="S909" s="21"/>
      <c r="T909" s="22"/>
    </row>
    <row r="910" spans="1:20" ht="13.2" x14ac:dyDescent="0.25">
      <c r="A910" s="17"/>
      <c r="B910" s="17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9"/>
      <c r="R910" s="20"/>
      <c r="S910" s="21"/>
      <c r="T910" s="22"/>
    </row>
    <row r="911" spans="1:20" ht="13.2" x14ac:dyDescent="0.25">
      <c r="A911" s="17"/>
      <c r="B911" s="17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9"/>
      <c r="R911" s="20"/>
      <c r="S911" s="21"/>
      <c r="T911" s="22"/>
    </row>
    <row r="912" spans="1:20" ht="13.2" x14ac:dyDescent="0.25">
      <c r="A912" s="17"/>
      <c r="B912" s="17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9"/>
      <c r="R912" s="20"/>
      <c r="S912" s="21"/>
      <c r="T912" s="22"/>
    </row>
    <row r="913" spans="1:20" ht="13.2" x14ac:dyDescent="0.25">
      <c r="A913" s="17"/>
      <c r="B913" s="17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9"/>
      <c r="R913" s="20"/>
      <c r="S913" s="21"/>
      <c r="T913" s="22"/>
    </row>
    <row r="914" spans="1:20" ht="13.2" x14ac:dyDescent="0.25">
      <c r="A914" s="17"/>
      <c r="B914" s="17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9"/>
      <c r="R914" s="20"/>
      <c r="S914" s="21"/>
      <c r="T914" s="22"/>
    </row>
    <row r="915" spans="1:20" ht="13.2" x14ac:dyDescent="0.25">
      <c r="A915" s="17"/>
      <c r="B915" s="17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9"/>
      <c r="R915" s="20"/>
      <c r="S915" s="21"/>
      <c r="T915" s="22"/>
    </row>
    <row r="916" spans="1:20" ht="13.2" x14ac:dyDescent="0.25">
      <c r="A916" s="17"/>
      <c r="B916" s="17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9"/>
      <c r="R916" s="20"/>
      <c r="S916" s="21"/>
      <c r="T916" s="22"/>
    </row>
    <row r="917" spans="1:20" ht="13.2" x14ac:dyDescent="0.25">
      <c r="A917" s="17"/>
      <c r="B917" s="17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9"/>
      <c r="R917" s="20"/>
      <c r="S917" s="21"/>
      <c r="T917" s="22"/>
    </row>
    <row r="918" spans="1:20" ht="13.2" x14ac:dyDescent="0.25">
      <c r="A918" s="17"/>
      <c r="B918" s="17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9"/>
      <c r="R918" s="20"/>
      <c r="S918" s="21"/>
      <c r="T918" s="22"/>
    </row>
    <row r="919" spans="1:20" ht="13.2" x14ac:dyDescent="0.25">
      <c r="A919" s="17"/>
      <c r="B919" s="17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9"/>
      <c r="R919" s="20"/>
      <c r="S919" s="21"/>
      <c r="T919" s="22"/>
    </row>
    <row r="920" spans="1:20" ht="13.2" x14ac:dyDescent="0.25">
      <c r="A920" s="17"/>
      <c r="B920" s="17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9"/>
      <c r="R920" s="20"/>
      <c r="S920" s="21"/>
      <c r="T920" s="22"/>
    </row>
    <row r="921" spans="1:20" ht="13.2" x14ac:dyDescent="0.25">
      <c r="A921" s="17"/>
      <c r="B921" s="17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9"/>
      <c r="R921" s="20"/>
      <c r="S921" s="21"/>
      <c r="T921" s="22"/>
    </row>
    <row r="922" spans="1:20" ht="13.2" x14ac:dyDescent="0.25">
      <c r="A922" s="17"/>
      <c r="B922" s="17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9"/>
      <c r="R922" s="20"/>
      <c r="S922" s="21"/>
      <c r="T922" s="22"/>
    </row>
    <row r="923" spans="1:20" ht="13.2" x14ac:dyDescent="0.25">
      <c r="A923" s="17"/>
      <c r="B923" s="17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9"/>
      <c r="R923" s="20"/>
      <c r="S923" s="21"/>
      <c r="T923" s="22"/>
    </row>
    <row r="924" spans="1:20" ht="13.2" x14ac:dyDescent="0.25">
      <c r="A924" s="17"/>
      <c r="B924" s="17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9"/>
      <c r="R924" s="20"/>
      <c r="S924" s="21"/>
      <c r="T924" s="22"/>
    </row>
    <row r="925" spans="1:20" ht="13.2" x14ac:dyDescent="0.25">
      <c r="A925" s="17"/>
      <c r="B925" s="17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9"/>
      <c r="R925" s="20"/>
      <c r="S925" s="21"/>
      <c r="T925" s="22"/>
    </row>
    <row r="926" spans="1:20" ht="13.2" x14ac:dyDescent="0.25">
      <c r="A926" s="17"/>
      <c r="B926" s="17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9"/>
      <c r="R926" s="20"/>
      <c r="S926" s="21"/>
      <c r="T926" s="22"/>
    </row>
    <row r="927" spans="1:20" ht="13.2" x14ac:dyDescent="0.25">
      <c r="A927" s="17"/>
      <c r="B927" s="17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9"/>
      <c r="R927" s="20"/>
      <c r="S927" s="21"/>
      <c r="T927" s="22"/>
    </row>
    <row r="928" spans="1:20" ht="13.2" x14ac:dyDescent="0.25">
      <c r="A928" s="17"/>
      <c r="B928" s="17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9"/>
      <c r="R928" s="20"/>
      <c r="S928" s="21"/>
      <c r="T928" s="22"/>
    </row>
    <row r="929" spans="1:20" ht="13.2" x14ac:dyDescent="0.25">
      <c r="A929" s="17"/>
      <c r="B929" s="17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9"/>
      <c r="R929" s="20"/>
      <c r="S929" s="21"/>
      <c r="T929" s="22"/>
    </row>
    <row r="930" spans="1:20" ht="13.2" x14ac:dyDescent="0.25">
      <c r="A930" s="17"/>
      <c r="B930" s="17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9"/>
      <c r="R930" s="20"/>
      <c r="S930" s="21"/>
      <c r="T930" s="22"/>
    </row>
    <row r="931" spans="1:20" ht="13.2" x14ac:dyDescent="0.25">
      <c r="A931" s="17"/>
      <c r="B931" s="17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9"/>
      <c r="R931" s="20"/>
      <c r="S931" s="21"/>
      <c r="T931" s="22"/>
    </row>
    <row r="932" spans="1:20" ht="13.2" x14ac:dyDescent="0.25">
      <c r="A932" s="17"/>
      <c r="B932" s="17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9"/>
      <c r="R932" s="20"/>
      <c r="S932" s="21"/>
      <c r="T932" s="22"/>
    </row>
    <row r="933" spans="1:20" ht="13.2" x14ac:dyDescent="0.25">
      <c r="A933" s="17"/>
      <c r="B933" s="17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9"/>
      <c r="R933" s="20"/>
      <c r="S933" s="21"/>
      <c r="T933" s="22"/>
    </row>
    <row r="934" spans="1:20" ht="13.2" x14ac:dyDescent="0.25">
      <c r="A934" s="17"/>
      <c r="B934" s="17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9"/>
      <c r="R934" s="20"/>
      <c r="S934" s="21"/>
      <c r="T934" s="22"/>
    </row>
    <row r="935" spans="1:20" ht="13.2" x14ac:dyDescent="0.25">
      <c r="A935" s="17"/>
      <c r="B935" s="17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9"/>
      <c r="R935" s="20"/>
      <c r="S935" s="21"/>
      <c r="T935" s="22"/>
    </row>
    <row r="936" spans="1:20" ht="13.2" x14ac:dyDescent="0.25">
      <c r="A936" s="17"/>
      <c r="B936" s="17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9"/>
      <c r="R936" s="20"/>
      <c r="S936" s="21"/>
      <c r="T936" s="22"/>
    </row>
    <row r="937" spans="1:20" ht="13.2" x14ac:dyDescent="0.25">
      <c r="A937" s="17"/>
      <c r="B937" s="17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9"/>
      <c r="R937" s="20"/>
      <c r="S937" s="21"/>
      <c r="T937" s="22"/>
    </row>
    <row r="938" spans="1:20" ht="13.2" x14ac:dyDescent="0.25">
      <c r="A938" s="17"/>
      <c r="B938" s="17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9"/>
      <c r="R938" s="20"/>
      <c r="S938" s="21"/>
      <c r="T938" s="22"/>
    </row>
    <row r="939" spans="1:20" ht="13.2" x14ac:dyDescent="0.25">
      <c r="A939" s="17"/>
      <c r="B939" s="17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9"/>
      <c r="R939" s="20"/>
      <c r="S939" s="21"/>
      <c r="T939" s="22"/>
    </row>
    <row r="940" spans="1:20" ht="13.2" x14ac:dyDescent="0.25">
      <c r="A940" s="17"/>
      <c r="B940" s="17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9"/>
      <c r="R940" s="20"/>
      <c r="S940" s="21"/>
      <c r="T940" s="22"/>
    </row>
    <row r="941" spans="1:20" ht="13.2" x14ac:dyDescent="0.25">
      <c r="A941" s="17"/>
      <c r="B941" s="17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9"/>
      <c r="R941" s="20"/>
      <c r="S941" s="21"/>
      <c r="T941" s="22"/>
    </row>
    <row r="942" spans="1:20" ht="13.2" x14ac:dyDescent="0.25">
      <c r="A942" s="17"/>
      <c r="B942" s="17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9"/>
      <c r="R942" s="20"/>
      <c r="S942" s="21"/>
      <c r="T942" s="22"/>
    </row>
    <row r="943" spans="1:20" ht="13.2" x14ac:dyDescent="0.25">
      <c r="A943" s="17"/>
      <c r="B943" s="17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9"/>
      <c r="R943" s="20"/>
      <c r="S943" s="21"/>
      <c r="T943" s="22"/>
    </row>
    <row r="944" spans="1:20" ht="13.2" x14ac:dyDescent="0.25">
      <c r="A944" s="17"/>
      <c r="B944" s="17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9"/>
      <c r="R944" s="20"/>
      <c r="S944" s="21"/>
      <c r="T944" s="22"/>
    </row>
    <row r="945" spans="1:20" ht="13.2" x14ac:dyDescent="0.25">
      <c r="A945" s="17"/>
      <c r="B945" s="17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9"/>
      <c r="R945" s="20"/>
      <c r="S945" s="21"/>
      <c r="T945" s="22"/>
    </row>
    <row r="946" spans="1:20" ht="13.2" x14ac:dyDescent="0.25">
      <c r="A946" s="17"/>
      <c r="B946" s="17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9"/>
      <c r="R946" s="20"/>
      <c r="S946" s="21"/>
      <c r="T946" s="22"/>
    </row>
    <row r="947" spans="1:20" ht="13.2" x14ac:dyDescent="0.25">
      <c r="A947" s="17"/>
      <c r="B947" s="17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9"/>
      <c r="R947" s="20"/>
      <c r="S947" s="21"/>
      <c r="T947" s="22"/>
    </row>
    <row r="948" spans="1:20" ht="13.2" x14ac:dyDescent="0.25">
      <c r="A948" s="17"/>
      <c r="B948" s="17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9"/>
      <c r="R948" s="20"/>
      <c r="S948" s="21"/>
      <c r="T948" s="22"/>
    </row>
    <row r="949" spans="1:20" ht="13.2" x14ac:dyDescent="0.25">
      <c r="A949" s="17"/>
      <c r="B949" s="17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9"/>
      <c r="R949" s="20"/>
      <c r="S949" s="21"/>
      <c r="T949" s="22"/>
    </row>
    <row r="950" spans="1:20" ht="13.2" x14ac:dyDescent="0.25">
      <c r="A950" s="17"/>
      <c r="B950" s="17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9"/>
      <c r="R950" s="20"/>
      <c r="S950" s="21"/>
      <c r="T950" s="22"/>
    </row>
    <row r="951" spans="1:20" ht="13.2" x14ac:dyDescent="0.25">
      <c r="A951" s="17"/>
      <c r="B951" s="17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9"/>
      <c r="R951" s="20"/>
      <c r="S951" s="21"/>
      <c r="T951" s="22"/>
    </row>
    <row r="952" spans="1:20" ht="13.2" x14ac:dyDescent="0.25">
      <c r="A952" s="17"/>
      <c r="B952" s="17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9"/>
      <c r="R952" s="20"/>
      <c r="S952" s="21"/>
      <c r="T952" s="22"/>
    </row>
    <row r="953" spans="1:20" ht="13.2" x14ac:dyDescent="0.25">
      <c r="A953" s="17"/>
      <c r="B953" s="17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9"/>
      <c r="R953" s="20"/>
      <c r="S953" s="21"/>
      <c r="T953" s="22"/>
    </row>
    <row r="954" spans="1:20" ht="13.2" x14ac:dyDescent="0.25">
      <c r="A954" s="17"/>
      <c r="B954" s="17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9"/>
      <c r="R954" s="20"/>
      <c r="S954" s="21"/>
      <c r="T954" s="22"/>
    </row>
    <row r="955" spans="1:20" ht="13.2" x14ac:dyDescent="0.25">
      <c r="A955" s="17"/>
      <c r="B955" s="17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9"/>
      <c r="R955" s="20"/>
      <c r="S955" s="21"/>
      <c r="T955" s="22"/>
    </row>
    <row r="956" spans="1:20" ht="13.2" x14ac:dyDescent="0.25">
      <c r="A956" s="17"/>
      <c r="B956" s="17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9"/>
      <c r="R956" s="20"/>
      <c r="S956" s="21"/>
      <c r="T956" s="22"/>
    </row>
    <row r="957" spans="1:20" ht="13.2" x14ac:dyDescent="0.25">
      <c r="A957" s="17"/>
      <c r="B957" s="17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9"/>
      <c r="R957" s="20"/>
      <c r="S957" s="21"/>
      <c r="T957" s="22"/>
    </row>
    <row r="958" spans="1:20" ht="13.2" x14ac:dyDescent="0.25">
      <c r="A958" s="17"/>
      <c r="B958" s="17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9"/>
      <c r="R958" s="20"/>
      <c r="S958" s="21"/>
      <c r="T958" s="22"/>
    </row>
    <row r="959" spans="1:20" ht="13.2" x14ac:dyDescent="0.25">
      <c r="A959" s="17"/>
      <c r="B959" s="17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9"/>
      <c r="R959" s="20"/>
      <c r="S959" s="21"/>
      <c r="T959" s="22"/>
    </row>
    <row r="960" spans="1:20" ht="13.2" x14ac:dyDescent="0.25">
      <c r="A960" s="17"/>
      <c r="B960" s="17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9"/>
      <c r="R960" s="20"/>
      <c r="S960" s="21"/>
      <c r="T960" s="22"/>
    </row>
    <row r="961" spans="1:20" ht="13.2" x14ac:dyDescent="0.25">
      <c r="A961" s="17"/>
      <c r="B961" s="17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9"/>
      <c r="R961" s="20"/>
      <c r="S961" s="21"/>
      <c r="T961" s="22"/>
    </row>
    <row r="962" spans="1:20" ht="13.2" x14ac:dyDescent="0.25">
      <c r="A962" s="17"/>
      <c r="B962" s="17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9"/>
      <c r="R962" s="20"/>
      <c r="S962" s="21"/>
      <c r="T962" s="22"/>
    </row>
    <row r="963" spans="1:20" ht="13.2" x14ac:dyDescent="0.25">
      <c r="A963" s="17"/>
      <c r="B963" s="17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9"/>
      <c r="R963" s="20"/>
      <c r="S963" s="21"/>
      <c r="T963" s="22"/>
    </row>
    <row r="964" spans="1:20" ht="13.2" x14ac:dyDescent="0.25">
      <c r="A964" s="17"/>
      <c r="B964" s="17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9"/>
      <c r="R964" s="20"/>
      <c r="S964" s="21"/>
      <c r="T964" s="22"/>
    </row>
    <row r="965" spans="1:20" ht="13.2" x14ac:dyDescent="0.25">
      <c r="A965" s="17"/>
      <c r="B965" s="17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9"/>
      <c r="R965" s="20"/>
      <c r="S965" s="21"/>
      <c r="T965" s="22"/>
    </row>
    <row r="966" spans="1:20" ht="13.2" x14ac:dyDescent="0.25">
      <c r="A966" s="17"/>
      <c r="B966" s="17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9"/>
      <c r="R966" s="20"/>
      <c r="S966" s="21"/>
      <c r="T966" s="22"/>
    </row>
    <row r="967" spans="1:20" ht="13.2" x14ac:dyDescent="0.25">
      <c r="A967" s="17"/>
      <c r="B967" s="17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9"/>
      <c r="R967" s="20"/>
      <c r="S967" s="21"/>
      <c r="T967" s="22"/>
    </row>
    <row r="968" spans="1:20" ht="13.2" x14ac:dyDescent="0.25">
      <c r="A968" s="17"/>
      <c r="B968" s="17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9"/>
      <c r="R968" s="20"/>
      <c r="S968" s="21"/>
      <c r="T968" s="22"/>
    </row>
    <row r="969" spans="1:20" ht="13.2" x14ac:dyDescent="0.25">
      <c r="A969" s="17"/>
      <c r="B969" s="17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9"/>
      <c r="R969" s="20"/>
      <c r="S969" s="21"/>
      <c r="T969" s="22"/>
    </row>
    <row r="970" spans="1:20" ht="13.2" x14ac:dyDescent="0.25">
      <c r="A970" s="17"/>
      <c r="B970" s="17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9"/>
      <c r="R970" s="20"/>
      <c r="S970" s="21"/>
      <c r="T970" s="22"/>
    </row>
    <row r="971" spans="1:20" ht="13.2" x14ac:dyDescent="0.25">
      <c r="A971" s="17"/>
      <c r="B971" s="17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9"/>
      <c r="R971" s="20"/>
      <c r="S971" s="21"/>
      <c r="T971" s="22"/>
    </row>
    <row r="972" spans="1:20" ht="13.2" x14ac:dyDescent="0.25">
      <c r="A972" s="17"/>
      <c r="B972" s="17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9"/>
      <c r="R972" s="20"/>
      <c r="S972" s="21"/>
      <c r="T972" s="22"/>
    </row>
    <row r="973" spans="1:20" ht="13.2" x14ac:dyDescent="0.25">
      <c r="A973" s="17"/>
      <c r="B973" s="17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9"/>
      <c r="R973" s="20"/>
      <c r="S973" s="21"/>
      <c r="T973" s="22"/>
    </row>
    <row r="974" spans="1:20" ht="13.2" x14ac:dyDescent="0.25">
      <c r="A974" s="17"/>
      <c r="B974" s="17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9"/>
      <c r="R974" s="20"/>
      <c r="S974" s="21"/>
      <c r="T974" s="22"/>
    </row>
    <row r="975" spans="1:20" ht="13.2" x14ac:dyDescent="0.25">
      <c r="A975" s="17"/>
      <c r="B975" s="17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9"/>
      <c r="R975" s="20"/>
      <c r="S975" s="21"/>
      <c r="T975" s="22"/>
    </row>
    <row r="976" spans="1:20" ht="13.2" x14ac:dyDescent="0.25">
      <c r="A976" s="17"/>
      <c r="B976" s="17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9"/>
      <c r="R976" s="20"/>
      <c r="S976" s="21"/>
      <c r="T976" s="22"/>
    </row>
    <row r="977" spans="1:20" ht="13.2" x14ac:dyDescent="0.25">
      <c r="A977" s="17"/>
      <c r="B977" s="17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9"/>
      <c r="R977" s="20"/>
      <c r="S977" s="21"/>
      <c r="T977" s="22"/>
    </row>
    <row r="978" spans="1:20" ht="13.2" x14ac:dyDescent="0.25">
      <c r="A978" s="17"/>
      <c r="B978" s="17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9"/>
      <c r="R978" s="20"/>
      <c r="S978" s="21"/>
      <c r="T978" s="22"/>
    </row>
    <row r="979" spans="1:20" ht="13.2" x14ac:dyDescent="0.25">
      <c r="A979" s="17"/>
      <c r="B979" s="17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9"/>
      <c r="R979" s="20"/>
      <c r="S979" s="21"/>
      <c r="T979" s="22"/>
    </row>
    <row r="980" spans="1:20" ht="13.2" x14ac:dyDescent="0.25">
      <c r="A980" s="17"/>
      <c r="B980" s="17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9"/>
      <c r="R980" s="20"/>
      <c r="S980" s="21"/>
      <c r="T980" s="22"/>
    </row>
    <row r="981" spans="1:20" ht="13.2" x14ac:dyDescent="0.25">
      <c r="A981" s="17"/>
      <c r="B981" s="17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9"/>
      <c r="R981" s="20"/>
      <c r="S981" s="21"/>
      <c r="T981" s="22"/>
    </row>
    <row r="982" spans="1:20" ht="13.2" x14ac:dyDescent="0.25">
      <c r="A982" s="17"/>
      <c r="B982" s="17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9"/>
      <c r="R982" s="20"/>
      <c r="S982" s="21"/>
      <c r="T982" s="22"/>
    </row>
    <row r="983" spans="1:20" ht="13.2" x14ac:dyDescent="0.25">
      <c r="A983" s="17"/>
      <c r="B983" s="17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9"/>
      <c r="R983" s="20"/>
      <c r="S983" s="21"/>
      <c r="T983" s="22"/>
    </row>
    <row r="984" spans="1:20" ht="13.2" x14ac:dyDescent="0.25">
      <c r="A984" s="17"/>
      <c r="B984" s="17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9"/>
      <c r="R984" s="20"/>
      <c r="S984" s="21"/>
      <c r="T984" s="22"/>
    </row>
    <row r="985" spans="1:20" ht="13.2" x14ac:dyDescent="0.25">
      <c r="A985" s="17"/>
      <c r="B985" s="17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9"/>
      <c r="R985" s="20"/>
      <c r="S985" s="21"/>
      <c r="T985" s="22"/>
    </row>
    <row r="986" spans="1:20" ht="13.2" x14ac:dyDescent="0.25">
      <c r="A986" s="17"/>
      <c r="B986" s="17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9"/>
      <c r="R986" s="20"/>
      <c r="S986" s="21"/>
      <c r="T986" s="22"/>
    </row>
    <row r="987" spans="1:20" ht="13.2" x14ac:dyDescent="0.25">
      <c r="A987" s="17"/>
      <c r="B987" s="17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9"/>
      <c r="R987" s="20"/>
      <c r="S987" s="21"/>
      <c r="T987" s="22"/>
    </row>
    <row r="988" spans="1:20" ht="13.2" x14ac:dyDescent="0.25">
      <c r="A988" s="17"/>
      <c r="B988" s="17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9"/>
      <c r="R988" s="20"/>
      <c r="S988" s="21"/>
      <c r="T988" s="22"/>
    </row>
    <row r="989" spans="1:20" ht="13.2" x14ac:dyDescent="0.25">
      <c r="A989" s="17"/>
      <c r="B989" s="17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9"/>
      <c r="R989" s="20"/>
      <c r="S989" s="21"/>
      <c r="T989" s="22"/>
    </row>
    <row r="990" spans="1:20" ht="13.2" x14ac:dyDescent="0.25">
      <c r="A990" s="17"/>
      <c r="B990" s="17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9"/>
      <c r="R990" s="20"/>
      <c r="S990" s="21"/>
      <c r="T990" s="22"/>
    </row>
    <row r="991" spans="1:20" ht="13.2" x14ac:dyDescent="0.25">
      <c r="A991" s="17"/>
      <c r="B991" s="17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9"/>
      <c r="R991" s="20"/>
      <c r="S991" s="21"/>
      <c r="T991" s="22"/>
    </row>
    <row r="992" spans="1:20" ht="13.2" x14ac:dyDescent="0.25">
      <c r="A992" s="17"/>
      <c r="B992" s="17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9"/>
      <c r="R992" s="20"/>
      <c r="S992" s="21"/>
      <c r="T992" s="22"/>
    </row>
    <row r="993" spans="1:20" ht="13.2" x14ac:dyDescent="0.25">
      <c r="A993" s="17"/>
      <c r="B993" s="17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9"/>
      <c r="R993" s="20"/>
      <c r="S993" s="21"/>
      <c r="T993" s="22"/>
    </row>
    <row r="994" spans="1:20" ht="13.2" x14ac:dyDescent="0.25">
      <c r="A994" s="17"/>
      <c r="B994" s="17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9"/>
      <c r="R994" s="20"/>
      <c r="S994" s="21"/>
      <c r="T994" s="22"/>
    </row>
    <row r="995" spans="1:20" ht="13.2" x14ac:dyDescent="0.25">
      <c r="A995" s="17"/>
      <c r="B995" s="17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9"/>
      <c r="R995" s="20"/>
      <c r="S995" s="21"/>
      <c r="T995" s="22"/>
    </row>
    <row r="996" spans="1:20" ht="13.2" x14ac:dyDescent="0.25">
      <c r="A996" s="17"/>
      <c r="B996" s="17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9"/>
      <c r="R996" s="20"/>
      <c r="S996" s="21"/>
      <c r="T996" s="22"/>
    </row>
    <row r="997" spans="1:20" ht="13.2" x14ac:dyDescent="0.25">
      <c r="A997" s="17"/>
      <c r="B997" s="17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9"/>
      <c r="R997" s="20"/>
      <c r="S997" s="21"/>
      <c r="T997" s="22"/>
    </row>
    <row r="998" spans="1:20" ht="13.2" x14ac:dyDescent="0.25">
      <c r="A998" s="17"/>
      <c r="B998" s="17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9"/>
      <c r="R998" s="20"/>
      <c r="S998" s="21"/>
      <c r="T998" s="22"/>
    </row>
    <row r="999" spans="1:20" ht="13.2" x14ac:dyDescent="0.25">
      <c r="A999" s="17"/>
      <c r="B999" s="17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9"/>
      <c r="R999" s="20"/>
      <c r="S999" s="21"/>
      <c r="T999" s="22"/>
    </row>
    <row r="1000" spans="1:20" ht="13.2" x14ac:dyDescent="0.25">
      <c r="A1000" s="17"/>
      <c r="B1000" s="17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9"/>
      <c r="R1000" s="20"/>
      <c r="S1000" s="21"/>
      <c r="T1000" s="22"/>
    </row>
    <row r="1001" spans="1:20" ht="13.2" x14ac:dyDescent="0.25">
      <c r="A1001" s="17"/>
      <c r="B1001" s="17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9"/>
      <c r="R1001" s="20"/>
      <c r="S1001" s="21"/>
      <c r="T1001" s="22"/>
    </row>
    <row r="1002" spans="1:20" ht="13.2" x14ac:dyDescent="0.25">
      <c r="A1002" s="17"/>
      <c r="B1002" s="17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9"/>
      <c r="R1002" s="20"/>
      <c r="S1002" s="21"/>
      <c r="T1002" s="22"/>
    </row>
    <row r="1003" spans="1:20" ht="13.2" x14ac:dyDescent="0.25">
      <c r="A1003" s="17"/>
      <c r="B1003" s="17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9"/>
      <c r="R1003" s="20"/>
      <c r="S1003" s="21"/>
      <c r="T1003" s="22"/>
    </row>
    <row r="1004" spans="1:20" ht="13.2" x14ac:dyDescent="0.25">
      <c r="A1004" s="17"/>
      <c r="B1004" s="17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9"/>
      <c r="R1004" s="20"/>
      <c r="S1004" s="21"/>
      <c r="T1004" s="22"/>
    </row>
    <row r="1005" spans="1:20" ht="13.2" x14ac:dyDescent="0.25">
      <c r="A1005" s="17"/>
      <c r="B1005" s="17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9"/>
      <c r="R1005" s="20"/>
      <c r="S1005" s="21"/>
      <c r="T1005" s="22"/>
    </row>
    <row r="1006" spans="1:20" ht="13.2" x14ac:dyDescent="0.25">
      <c r="A1006" s="17"/>
      <c r="B1006" s="17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9"/>
      <c r="R1006" s="20"/>
      <c r="S1006" s="21"/>
      <c r="T1006" s="22"/>
    </row>
    <row r="1007" spans="1:20" ht="13.2" x14ac:dyDescent="0.25">
      <c r="A1007" s="17"/>
      <c r="B1007" s="17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9"/>
      <c r="R1007" s="20"/>
      <c r="S1007" s="21"/>
      <c r="T1007" s="22"/>
    </row>
    <row r="1008" spans="1:20" ht="13.2" x14ac:dyDescent="0.25">
      <c r="A1008" s="17"/>
      <c r="B1008" s="17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9"/>
      <c r="R1008" s="20"/>
      <c r="S1008" s="21"/>
      <c r="T1008" s="22"/>
    </row>
    <row r="1009" spans="1:20" ht="13.2" x14ac:dyDescent="0.25">
      <c r="A1009" s="17"/>
      <c r="B1009" s="17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9"/>
      <c r="R1009" s="20"/>
      <c r="S1009" s="21"/>
      <c r="T1009" s="22"/>
    </row>
    <row r="1010" spans="1:20" ht="13.2" x14ac:dyDescent="0.25">
      <c r="A1010" s="17"/>
      <c r="B1010" s="17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9"/>
      <c r="R1010" s="20"/>
      <c r="S1010" s="21"/>
      <c r="T1010" s="22"/>
    </row>
    <row r="1011" spans="1:20" ht="13.2" x14ac:dyDescent="0.25">
      <c r="A1011" s="17"/>
      <c r="B1011" s="17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9"/>
      <c r="R1011" s="20"/>
      <c r="S1011" s="21"/>
      <c r="T1011" s="22"/>
    </row>
    <row r="1012" spans="1:20" ht="13.2" x14ac:dyDescent="0.25">
      <c r="A1012" s="17"/>
      <c r="B1012" s="17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9"/>
      <c r="R1012" s="20"/>
      <c r="S1012" s="21"/>
      <c r="T1012" s="22"/>
    </row>
    <row r="1013" spans="1:20" ht="13.2" x14ac:dyDescent="0.25">
      <c r="A1013" s="17"/>
      <c r="B1013" s="17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9"/>
      <c r="R1013" s="20"/>
      <c r="S1013" s="21"/>
      <c r="T1013" s="22"/>
    </row>
    <row r="1014" spans="1:20" ht="13.2" x14ac:dyDescent="0.25">
      <c r="A1014" s="17"/>
      <c r="B1014" s="17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9"/>
      <c r="R1014" s="20"/>
      <c r="S1014" s="21"/>
      <c r="T1014" s="22"/>
    </row>
    <row r="1015" spans="1:20" ht="13.2" x14ac:dyDescent="0.25">
      <c r="A1015" s="17"/>
      <c r="B1015" s="17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9"/>
      <c r="R1015" s="20"/>
      <c r="S1015" s="21"/>
      <c r="T1015" s="22"/>
    </row>
    <row r="1016" spans="1:20" ht="13.2" x14ac:dyDescent="0.25">
      <c r="A1016" s="17"/>
      <c r="B1016" s="17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9"/>
      <c r="R1016" s="20"/>
      <c r="S1016" s="21"/>
      <c r="T1016" s="22"/>
    </row>
    <row r="1017" spans="1:20" ht="13.2" x14ac:dyDescent="0.25">
      <c r="A1017" s="17"/>
      <c r="B1017" s="17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  <c r="P1017" s="18"/>
      <c r="Q1017" s="19"/>
      <c r="R1017" s="20"/>
      <c r="S1017" s="21"/>
      <c r="T1017" s="22"/>
    </row>
    <row r="1018" spans="1:20" ht="13.2" x14ac:dyDescent="0.25">
      <c r="A1018" s="17"/>
      <c r="B1018" s="17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9"/>
      <c r="R1018" s="20"/>
      <c r="S1018" s="21"/>
      <c r="T1018" s="22"/>
    </row>
    <row r="1019" spans="1:20" ht="13.2" x14ac:dyDescent="0.25">
      <c r="A1019" s="17"/>
      <c r="B1019" s="17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  <c r="P1019" s="18"/>
      <c r="Q1019" s="19"/>
      <c r="R1019" s="20"/>
      <c r="S1019" s="21"/>
      <c r="T1019" s="22"/>
    </row>
    <row r="1020" spans="1:20" ht="13.2" x14ac:dyDescent="0.25">
      <c r="A1020" s="17"/>
      <c r="B1020" s="17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9"/>
      <c r="R1020" s="20"/>
      <c r="S1020" s="21"/>
      <c r="T1020" s="22"/>
    </row>
    <row r="1021" spans="1:20" ht="13.2" x14ac:dyDescent="0.25">
      <c r="A1021" s="17"/>
      <c r="B1021" s="17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  <c r="P1021" s="18"/>
      <c r="Q1021" s="19"/>
      <c r="R1021" s="20"/>
      <c r="S1021" s="21"/>
      <c r="T1021" s="22"/>
    </row>
    <row r="1022" spans="1:20" ht="13.2" x14ac:dyDescent="0.25">
      <c r="A1022" s="17"/>
      <c r="B1022" s="17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  <c r="P1022" s="18"/>
      <c r="Q1022" s="19"/>
      <c r="R1022" s="20"/>
      <c r="S1022" s="21"/>
      <c r="T1022" s="22"/>
    </row>
    <row r="1023" spans="1:20" ht="13.2" x14ac:dyDescent="0.25">
      <c r="A1023" s="17"/>
      <c r="B1023" s="17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  <c r="P1023" s="18"/>
      <c r="Q1023" s="19"/>
      <c r="R1023" s="20"/>
      <c r="S1023" s="21"/>
      <c r="T1023" s="22"/>
    </row>
    <row r="1024" spans="1:20" ht="13.2" x14ac:dyDescent="0.25">
      <c r="A1024" s="17"/>
      <c r="B1024" s="17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9"/>
      <c r="R1024" s="20"/>
      <c r="S1024" s="21"/>
      <c r="T1024" s="22"/>
    </row>
  </sheetData>
  <mergeCells count="25">
    <mergeCell ref="B180:Q180"/>
    <mergeCell ref="B188:Q188"/>
    <mergeCell ref="B196:Q196"/>
    <mergeCell ref="B116:Q116"/>
    <mergeCell ref="B124:Q124"/>
    <mergeCell ref="B132:Q132"/>
    <mergeCell ref="B140:Q140"/>
    <mergeCell ref="B148:Q148"/>
    <mergeCell ref="B156:Q156"/>
    <mergeCell ref="B164:Q164"/>
    <mergeCell ref="B84:Q84"/>
    <mergeCell ref="B92:Q92"/>
    <mergeCell ref="B100:Q100"/>
    <mergeCell ref="B108:Q108"/>
    <mergeCell ref="B172:Q172"/>
    <mergeCell ref="B44:Q44"/>
    <mergeCell ref="B52:Q52"/>
    <mergeCell ref="B60:Q60"/>
    <mergeCell ref="B68:Q68"/>
    <mergeCell ref="B76:Q76"/>
    <mergeCell ref="B4:Q4"/>
    <mergeCell ref="B12:Q12"/>
    <mergeCell ref="B20:Q20"/>
    <mergeCell ref="B28:Q28"/>
    <mergeCell ref="B36:Q36"/>
  </mergeCells>
  <conditionalFormatting sqref="V13">
    <cfRule type="notContainsBlanks" dxfId="3" priority="1">
      <formula>LEN(TRIM(V13))&gt;0</formula>
    </cfRule>
  </conditionalFormatting>
  <dataValidations count="3">
    <dataValidation type="custom" allowBlank="1" showDropDown="1" showInputMessage="1" showErrorMessage="1" prompt="Ide csak az elért magasság, valamint a DNS, NH, DQ jelek írható!" sqref="Q6:Q9 Q13:Q17 Q21:Q25 Q29:Q33 Q37:Q41 Q45:Q49 Q53:Q57 Q61:Q65 Q69:Q73 Q77:Q81 Q85:Q89 Q93:Q97 Q101:Q105 Q109:Q113 Q117:Q121 Q125:Q129 Q133:Q137 Q141:Q145 Q149:Q153 Q157:Q161 Q165:Q169 Q173:Q177 Q181:Q185 Q189:Q193 Q197:Q201" xr:uid="{00000000-0002-0000-0400-000000000000}">
      <formula1>REGEXMATCH(Q6, "^\d,\d\d$|^NH$|^DNS$")</formula1>
    </dataValidation>
    <dataValidation type="custom" allowBlank="1" showDropDown="1" showInputMessage="1" showErrorMessage="1" prompt="Csak az x, o, - jeleket használja!" sqref="E5:P9 E13:P17 E21:P25 E29:P33 E37:P41 E45:P49 E53:P57 E61:P65 E69:P73 E77:P81 E85:P89 E93:P97 E101:P105 E109:P113 E117:P121 E125:P129 E133:P137 E141:P145 E149:P153 E157:P161 E165:P169 E173:P177 E181:P185 E189:P193 E197:P201" xr:uid="{00000000-0002-0000-0400-000001000000}">
      <formula1>REGEXMATCH(E5,"^-$|^x$|^x$|^xx$|^xxx$|^x-$|^xx-$|^o$|^xo$|^xxo$")</formula1>
    </dataValidation>
    <dataValidation type="custom" allowBlank="1" showDropDown="1" showInputMessage="1" showErrorMessage="1" prompt="Ebbe a cellába csak 2011 és 2014 közötti értéket kell megadni!" sqref="D5:D9 D13:D17 D21:D25 D29:D33 D37:D41 D45:D49 D53:D57 D61:D65 D69:D73 D77:D81 D85:D89 D93:D97 D101:D105 D109:D113 D117:D121 D125:D129 D133:D137 D141:D145 D149:D153 D157:D161 D165:D169 D173:D177 D181:D185 D189:D193 D197:D201" xr:uid="{00000000-0002-0000-0400-000002000000}">
      <formula1>OR(D5 = "2011", D5="2012",  D5="2013", D5="2014")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1C232"/>
    <outlinePr summaryBelow="0" summaryRight="0"/>
  </sheetPr>
  <dimension ref="A1:AA1024"/>
  <sheetViews>
    <sheetView workbookViewId="0">
      <pane ySplit="3" topLeftCell="A4" activePane="bottomLeft" state="frozen"/>
      <selection pane="bottomLeft" activeCell="B5" sqref="B5"/>
    </sheetView>
  </sheetViews>
  <sheetFormatPr defaultColWidth="12.6640625" defaultRowHeight="15.75" customHeight="1" x14ac:dyDescent="0.25"/>
  <cols>
    <col min="1" max="1" width="4.21875" customWidth="1"/>
    <col min="2" max="2" width="3.21875" customWidth="1"/>
    <col min="3" max="3" width="22.44140625" customWidth="1"/>
    <col min="4" max="4" width="6.44140625" customWidth="1"/>
    <col min="5" max="7" width="7.109375" customWidth="1"/>
    <col min="8" max="8" width="6.88671875" customWidth="1"/>
    <col min="10" max="10" width="8.21875" customWidth="1"/>
  </cols>
  <sheetData>
    <row r="1" spans="1:27" ht="25.8" x14ac:dyDescent="0.8">
      <c r="A1" s="65" t="s">
        <v>515</v>
      </c>
      <c r="B1" s="66"/>
      <c r="C1" s="67"/>
      <c r="D1" s="68"/>
      <c r="E1" s="69"/>
      <c r="F1" s="69"/>
      <c r="G1" s="69"/>
      <c r="H1" s="73"/>
      <c r="I1" s="72"/>
      <c r="J1" s="73"/>
    </row>
    <row r="2" spans="1:27" ht="16.2" x14ac:dyDescent="0.5">
      <c r="A2" s="9" t="s">
        <v>1</v>
      </c>
      <c r="B2" s="9" t="s">
        <v>2</v>
      </c>
      <c r="C2" s="11"/>
      <c r="D2" s="12" t="s">
        <v>3</v>
      </c>
      <c r="E2" s="12" t="s">
        <v>74</v>
      </c>
      <c r="F2" s="12" t="s">
        <v>75</v>
      </c>
      <c r="G2" s="12" t="s">
        <v>76</v>
      </c>
      <c r="H2" s="57" t="s">
        <v>77</v>
      </c>
      <c r="I2" s="14" t="s">
        <v>6</v>
      </c>
      <c r="J2" s="15" t="s">
        <v>7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13.2" x14ac:dyDescent="0.25">
      <c r="A3" s="17"/>
      <c r="B3" s="17"/>
      <c r="D3" s="18"/>
      <c r="E3" s="18"/>
      <c r="F3" s="18"/>
      <c r="G3" s="18"/>
      <c r="H3" s="58"/>
      <c r="I3" s="21"/>
      <c r="J3" s="22"/>
    </row>
    <row r="4" spans="1:27" ht="15.6" x14ac:dyDescent="0.25">
      <c r="A4" s="23">
        <v>1</v>
      </c>
      <c r="B4" s="97" t="s">
        <v>96</v>
      </c>
      <c r="C4" s="98"/>
      <c r="D4" s="98"/>
      <c r="E4" s="98"/>
      <c r="F4" s="98"/>
      <c r="G4" s="99"/>
      <c r="H4" s="59"/>
      <c r="I4" s="25">
        <f ca="1">IF(COUNTIFS(H5:H9,"&gt;0") &gt; 3, FLOOR((SUM(H5:H9)-MIN(H5,H6,H7,H8,H9))/4,0.0001), )</f>
        <v>4.01</v>
      </c>
      <c r="J4" s="26">
        <f ca="1">IF(I4=0,"",RANK(I4,$I$4:$I$224,))</f>
        <v>1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8.75" customHeight="1" x14ac:dyDescent="0.25">
      <c r="A5" s="17"/>
      <c r="B5" s="28">
        <v>1</v>
      </c>
      <c r="C5" s="29" t="s">
        <v>477</v>
      </c>
      <c r="D5" s="30" t="s">
        <v>15</v>
      </c>
      <c r="E5" s="60" t="s">
        <v>84</v>
      </c>
      <c r="F5" s="60" t="s">
        <v>516</v>
      </c>
      <c r="G5" s="60" t="s">
        <v>179</v>
      </c>
      <c r="H5" s="61">
        <f ca="1">IFERROR(__xludf.DUMMYFUNCTION("MAX(IF(REGEXMATCH(E5,""^\d{1},\d{2}$""),VALUE(E5),0),IF(REGEXMATCH(F5,""^\d{1},\d{2}$""),VALUE(F5),0),IF(REGEXMATCH(G5,""^\d{1},\d{2}$""),VALUE(G5),0))"),4.54)</f>
        <v>4.54</v>
      </c>
      <c r="I5" s="21"/>
      <c r="J5" s="22"/>
    </row>
    <row r="6" spans="1:27" ht="18.75" customHeight="1" x14ac:dyDescent="0.25">
      <c r="A6" s="17"/>
      <c r="B6" s="28">
        <v>2</v>
      </c>
      <c r="C6" s="29" t="s">
        <v>478</v>
      </c>
      <c r="D6" s="30" t="s">
        <v>15</v>
      </c>
      <c r="E6" s="60" t="s">
        <v>517</v>
      </c>
      <c r="F6" s="60" t="s">
        <v>174</v>
      </c>
      <c r="G6" s="60" t="s">
        <v>518</v>
      </c>
      <c r="H6" s="61">
        <f ca="1">IFERROR(__xludf.DUMMYFUNCTION("MAX(IF(REGEXMATCH(E6,""^\d{1},\d{2}$""),VALUE(E6),0),IF(REGEXMATCH(F6,""^\d{1},\d{2}$""),VALUE(F6),0),IF(REGEXMATCH(G6,""^\d{1},\d{2}$""),VALUE(G6),0))"),4.04)</f>
        <v>4.04</v>
      </c>
      <c r="I6" s="21"/>
      <c r="J6" s="22"/>
    </row>
    <row r="7" spans="1:27" ht="18.75" customHeight="1" x14ac:dyDescent="0.25">
      <c r="A7" s="17"/>
      <c r="B7" s="28">
        <v>3</v>
      </c>
      <c r="C7" s="29" t="s">
        <v>519</v>
      </c>
      <c r="D7" s="30" t="s">
        <v>10</v>
      </c>
      <c r="E7" s="60" t="s">
        <v>84</v>
      </c>
      <c r="F7" s="60" t="s">
        <v>84</v>
      </c>
      <c r="G7" s="60" t="s">
        <v>520</v>
      </c>
      <c r="H7" s="61">
        <f ca="1">IFERROR(__xludf.DUMMYFUNCTION("MAX(IF(REGEXMATCH(E7,""^\d{1},\d{2}$""),VALUE(E7),0),IF(REGEXMATCH(F7,""^\d{1},\d{2}$""),VALUE(F7),0),IF(REGEXMATCH(G7,""^\d{1},\d{2}$""),VALUE(G7),0))"),3.53)</f>
        <v>3.53</v>
      </c>
      <c r="I7" s="21"/>
      <c r="J7" s="22"/>
    </row>
    <row r="8" spans="1:27" ht="18.75" customHeight="1" x14ac:dyDescent="0.25">
      <c r="A8" s="17"/>
      <c r="B8" s="28">
        <v>4</v>
      </c>
      <c r="C8" s="29" t="s">
        <v>521</v>
      </c>
      <c r="D8" s="30" t="s">
        <v>371</v>
      </c>
      <c r="E8" s="60" t="s">
        <v>84</v>
      </c>
      <c r="F8" s="60" t="s">
        <v>84</v>
      </c>
      <c r="G8" s="60" t="s">
        <v>84</v>
      </c>
      <c r="H8" s="61">
        <f ca="1">IFERROR(__xludf.DUMMYFUNCTION("MAX(IF(REGEXMATCH(E8,""^\d{1},\d{2}$""),VALUE(E8),0),IF(REGEXMATCH(F8,""^\d{1},\d{2}$""),VALUE(F8),0),IF(REGEXMATCH(G8,""^\d{1},\d{2}$""),VALUE(G8),0))"),0)</f>
        <v>0</v>
      </c>
      <c r="I8" s="21"/>
      <c r="J8" s="22"/>
    </row>
    <row r="9" spans="1:27" ht="18.75" customHeight="1" x14ac:dyDescent="0.25">
      <c r="A9" s="17"/>
      <c r="B9" s="28">
        <v>5</v>
      </c>
      <c r="C9" s="29" t="s">
        <v>480</v>
      </c>
      <c r="D9" s="30" t="s">
        <v>10</v>
      </c>
      <c r="E9" s="60" t="s">
        <v>522</v>
      </c>
      <c r="F9" s="60" t="s">
        <v>523</v>
      </c>
      <c r="G9" s="60" t="s">
        <v>524</v>
      </c>
      <c r="H9" s="61">
        <f ca="1">IFERROR(__xludf.DUMMYFUNCTION("MAX(IF(REGEXMATCH(E9,""^\d{1},\d{2}$""),VALUE(E9),0),IF(REGEXMATCH(F9,""^\d{1},\d{2}$""),VALUE(F9),0),IF(REGEXMATCH(G9,""^\d{1},\d{2}$""),VALUE(G9),0))"),3.93)</f>
        <v>3.93</v>
      </c>
      <c r="I9" s="21"/>
      <c r="J9" s="22"/>
    </row>
    <row r="10" spans="1:27" ht="13.2" x14ac:dyDescent="0.25">
      <c r="A10" s="17"/>
      <c r="B10" s="62" t="s">
        <v>18</v>
      </c>
      <c r="C10" s="36"/>
      <c r="D10" s="37" t="s">
        <v>108</v>
      </c>
      <c r="E10" s="38"/>
      <c r="F10" s="38"/>
      <c r="G10" s="38"/>
      <c r="H10" s="63"/>
      <c r="I10" s="21"/>
      <c r="J10" s="22"/>
    </row>
    <row r="11" spans="1:27" ht="13.2" x14ac:dyDescent="0.25">
      <c r="A11" s="17"/>
      <c r="B11" s="17"/>
      <c r="D11" s="18"/>
      <c r="E11" s="18"/>
      <c r="F11" s="18"/>
      <c r="G11" s="18"/>
      <c r="H11" s="58"/>
      <c r="I11" s="21"/>
      <c r="J11" s="22"/>
    </row>
    <row r="12" spans="1:27" ht="15.6" x14ac:dyDescent="0.25">
      <c r="A12" s="23">
        <v>2</v>
      </c>
      <c r="B12" s="97" t="s">
        <v>450</v>
      </c>
      <c r="C12" s="98"/>
      <c r="D12" s="98"/>
      <c r="E12" s="98"/>
      <c r="F12" s="98"/>
      <c r="G12" s="98"/>
      <c r="H12" s="59"/>
      <c r="I12" s="25">
        <f ca="1">IF(COUNTIFS(H13:H17,"&gt;0") &gt; 3, FLOOR((SUM(H13:H17)-MIN(H13,H14,H15,H16,H17))/4,0.0001), )</f>
        <v>3.89</v>
      </c>
      <c r="J12" s="26">
        <f ca="1">IF(I12=0,"",RANK(I12,$I$4:$I$224,))</f>
        <v>2</v>
      </c>
    </row>
    <row r="13" spans="1:27" ht="18.75" customHeight="1" x14ac:dyDescent="0.25">
      <c r="A13" s="17"/>
      <c r="B13" s="28">
        <v>1</v>
      </c>
      <c r="C13" s="29" t="s">
        <v>498</v>
      </c>
      <c r="D13" s="30" t="s">
        <v>15</v>
      </c>
      <c r="E13" s="60" t="s">
        <v>84</v>
      </c>
      <c r="F13" s="60" t="s">
        <v>120</v>
      </c>
      <c r="G13" s="60" t="s">
        <v>525</v>
      </c>
      <c r="H13" s="61">
        <f ca="1">IFERROR(__xludf.DUMMYFUNCTION("MAX(IF(REGEXMATCH(E13,""^\d{1},\d{2}$""),VALUE(E13),0),IF(REGEXMATCH(F13,""^\d{1},\d{2}$""),VALUE(F13),0),IF(REGEXMATCH(G13,""^\d{1},\d{2}$""),VALUE(G13),0))"),3.8)</f>
        <v>3.8</v>
      </c>
      <c r="I13" s="21"/>
      <c r="J13" s="22"/>
    </row>
    <row r="14" spans="1:27" ht="18.75" customHeight="1" x14ac:dyDescent="0.25">
      <c r="A14" s="17"/>
      <c r="B14" s="28">
        <v>2</v>
      </c>
      <c r="C14" s="29" t="s">
        <v>499</v>
      </c>
      <c r="D14" s="30" t="s">
        <v>15</v>
      </c>
      <c r="E14" s="60" t="s">
        <v>526</v>
      </c>
      <c r="F14" s="60" t="s">
        <v>206</v>
      </c>
      <c r="G14" s="60" t="s">
        <v>527</v>
      </c>
      <c r="H14" s="61">
        <f ca="1">IFERROR(__xludf.DUMMYFUNCTION("MAX(IF(REGEXMATCH(E14,""^\d{1},\d{2}$""),VALUE(E14),0),IF(REGEXMATCH(F14,""^\d{1},\d{2}$""),VALUE(F14),0),IF(REGEXMATCH(G14,""^\d{1},\d{2}$""),VALUE(G14),0))"),3.67)</f>
        <v>3.67</v>
      </c>
      <c r="I14" s="21"/>
      <c r="J14" s="22"/>
    </row>
    <row r="15" spans="1:27" ht="18.75" customHeight="1" x14ac:dyDescent="0.25">
      <c r="A15" s="17"/>
      <c r="B15" s="28">
        <v>3</v>
      </c>
      <c r="C15" s="29" t="s">
        <v>528</v>
      </c>
      <c r="D15" s="30" t="s">
        <v>15</v>
      </c>
      <c r="E15" s="60" t="s">
        <v>140</v>
      </c>
      <c r="F15" s="60" t="s">
        <v>174</v>
      </c>
      <c r="G15" s="60" t="s">
        <v>529</v>
      </c>
      <c r="H15" s="61">
        <f ca="1">IFERROR(__xludf.DUMMYFUNCTION("MAX(IF(REGEXMATCH(E15,""^\d{1},\d{2}$""),VALUE(E15),0),IF(REGEXMATCH(F15,""^\d{1},\d{2}$""),VALUE(F15),0),IF(REGEXMATCH(G15,""^\d{1},\d{2}$""),VALUE(G15),0))"),4.06)</f>
        <v>4.0599999999999996</v>
      </c>
      <c r="I15" s="21"/>
      <c r="J15" s="22"/>
    </row>
    <row r="16" spans="1:27" ht="18.75" customHeight="1" x14ac:dyDescent="0.25">
      <c r="A16" s="17"/>
      <c r="B16" s="28">
        <v>4</v>
      </c>
      <c r="C16" s="29" t="s">
        <v>530</v>
      </c>
      <c r="D16" s="30" t="s">
        <v>15</v>
      </c>
      <c r="E16" s="60" t="s">
        <v>84</v>
      </c>
      <c r="F16" s="60" t="s">
        <v>84</v>
      </c>
      <c r="G16" s="60" t="s">
        <v>531</v>
      </c>
      <c r="H16" s="61">
        <f ca="1">IFERROR(__xludf.DUMMYFUNCTION("MAX(IF(REGEXMATCH(E16,""^\d{1},\d{2}$""),VALUE(E16),0),IF(REGEXMATCH(F16,""^\d{1},\d{2}$""),VALUE(F16),0),IF(REGEXMATCH(G16,""^\d{1},\d{2}$""),VALUE(G16),0))"),3.36)</f>
        <v>3.36</v>
      </c>
      <c r="I16" s="21"/>
      <c r="J16" s="22"/>
    </row>
    <row r="17" spans="1:10" ht="18.75" customHeight="1" x14ac:dyDescent="0.25">
      <c r="A17" s="17"/>
      <c r="B17" s="28">
        <v>5</v>
      </c>
      <c r="C17" s="29" t="s">
        <v>502</v>
      </c>
      <c r="D17" s="30" t="s">
        <v>41</v>
      </c>
      <c r="E17" s="60" t="s">
        <v>93</v>
      </c>
      <c r="F17" s="60" t="s">
        <v>532</v>
      </c>
      <c r="G17" s="60" t="s">
        <v>215</v>
      </c>
      <c r="H17" s="61">
        <f ca="1">IFERROR(__xludf.DUMMYFUNCTION("MAX(IF(REGEXMATCH(E17,""^\d{1},\d{2}$""),VALUE(E17),0),IF(REGEXMATCH(F17,""^\d{1},\d{2}$""),VALUE(F17),0),IF(REGEXMATCH(G17,""^\d{1},\d{2}$""),VALUE(G17),0))"),4.03)</f>
        <v>4.03</v>
      </c>
      <c r="I17" s="21"/>
      <c r="J17" s="22"/>
    </row>
    <row r="18" spans="1:10" ht="13.2" x14ac:dyDescent="0.25">
      <c r="A18" s="17"/>
      <c r="B18" s="62" t="s">
        <v>18</v>
      </c>
      <c r="C18" s="36"/>
      <c r="D18" s="44" t="s">
        <v>462</v>
      </c>
      <c r="E18" s="38"/>
      <c r="F18" s="38"/>
      <c r="G18" s="38"/>
      <c r="H18" s="63"/>
      <c r="I18" s="21"/>
      <c r="J18" s="22"/>
    </row>
    <row r="19" spans="1:10" ht="13.2" x14ac:dyDescent="0.25">
      <c r="A19" s="17"/>
      <c r="B19" s="17"/>
      <c r="D19" s="18"/>
      <c r="E19" s="18"/>
      <c r="F19" s="18"/>
      <c r="G19" s="18"/>
      <c r="H19" s="58"/>
      <c r="I19" s="21"/>
      <c r="J19" s="22"/>
    </row>
    <row r="20" spans="1:10" ht="15.6" x14ac:dyDescent="0.25">
      <c r="A20" s="23">
        <v>3</v>
      </c>
      <c r="B20" s="97" t="s">
        <v>54</v>
      </c>
      <c r="C20" s="98"/>
      <c r="D20" s="98"/>
      <c r="E20" s="98"/>
      <c r="F20" s="98"/>
      <c r="G20" s="98"/>
      <c r="H20" s="59"/>
      <c r="I20" s="25">
        <f ca="1">IF(COUNTIFS(H21:H25,"&gt;0") &gt; 3, FLOOR((SUM(H21:H25)-MIN(H21,H22,H23,H24,H25))/4,0.0001), )</f>
        <v>3.8450000000000002</v>
      </c>
      <c r="J20" s="26">
        <f ca="1">IF(I20=0,"",RANK(I20,$I$4:$I$224,))</f>
        <v>3</v>
      </c>
    </row>
    <row r="21" spans="1:10" ht="13.2" x14ac:dyDescent="0.25">
      <c r="A21" s="17"/>
      <c r="B21" s="28">
        <v>1</v>
      </c>
      <c r="C21" s="29" t="s">
        <v>533</v>
      </c>
      <c r="D21" s="30" t="s">
        <v>10</v>
      </c>
      <c r="E21" s="60" t="s">
        <v>525</v>
      </c>
      <c r="F21" s="60" t="s">
        <v>532</v>
      </c>
      <c r="G21" s="60" t="s">
        <v>174</v>
      </c>
      <c r="H21" s="61">
        <f ca="1">IFERROR(__xludf.DUMMYFUNCTION("MAX(IF(REGEXMATCH(E21,""^\d{1},\d{2}$""),VALUE(E21),0),IF(REGEXMATCH(F21,""^\d{1},\d{2}$""),VALUE(F21),0),IF(REGEXMATCH(G21,""^\d{1},\d{2}$""),VALUE(G21),0))"),3.96)</f>
        <v>3.96</v>
      </c>
      <c r="I21" s="21"/>
      <c r="J21" s="22"/>
    </row>
    <row r="22" spans="1:10" ht="13.2" x14ac:dyDescent="0.25">
      <c r="A22" s="17"/>
      <c r="B22" s="28">
        <v>2</v>
      </c>
      <c r="C22" s="29" t="s">
        <v>534</v>
      </c>
      <c r="D22" s="30" t="s">
        <v>10</v>
      </c>
      <c r="E22" s="60" t="s">
        <v>535</v>
      </c>
      <c r="F22" s="60" t="s">
        <v>84</v>
      </c>
      <c r="G22" s="60" t="s">
        <v>536</v>
      </c>
      <c r="H22" s="61">
        <f ca="1">IFERROR(__xludf.DUMMYFUNCTION("MAX(IF(REGEXMATCH(E22,""^\d{1},\d{2}$""),VALUE(E22),0),IF(REGEXMATCH(F22,""^\d{1},\d{2}$""),VALUE(F22),0),IF(REGEXMATCH(G22,""^\d{1},\d{2}$""),VALUE(G22),0))"),3.77)</f>
        <v>3.77</v>
      </c>
      <c r="I22" s="21"/>
      <c r="J22" s="22"/>
    </row>
    <row r="23" spans="1:10" ht="13.2" x14ac:dyDescent="0.25">
      <c r="A23" s="17"/>
      <c r="B23" s="28">
        <v>3</v>
      </c>
      <c r="C23" s="29" t="s">
        <v>491</v>
      </c>
      <c r="D23" s="30" t="s">
        <v>41</v>
      </c>
      <c r="E23" s="60" t="s">
        <v>526</v>
      </c>
      <c r="F23" s="60" t="s">
        <v>537</v>
      </c>
      <c r="G23" s="60" t="s">
        <v>538</v>
      </c>
      <c r="H23" s="61">
        <f ca="1">IFERROR(__xludf.DUMMYFUNCTION("MAX(IF(REGEXMATCH(E23,""^\d{1},\d{2}$""),VALUE(E23),0),IF(REGEXMATCH(F23,""^\d{1},\d{2}$""),VALUE(F23),0),IF(REGEXMATCH(G23,""^\d{1},\d{2}$""),VALUE(G23),0))"),3.86)</f>
        <v>3.86</v>
      </c>
      <c r="I23" s="21"/>
      <c r="J23" s="22"/>
    </row>
    <row r="24" spans="1:10" ht="13.2" x14ac:dyDescent="0.25">
      <c r="A24" s="17"/>
      <c r="B24" s="28">
        <v>4</v>
      </c>
      <c r="C24" s="29" t="s">
        <v>487</v>
      </c>
      <c r="D24" s="30" t="s">
        <v>15</v>
      </c>
      <c r="E24" s="60" t="s">
        <v>539</v>
      </c>
      <c r="F24" s="60" t="s">
        <v>540</v>
      </c>
      <c r="G24" s="60" t="s">
        <v>541</v>
      </c>
      <c r="H24" s="61">
        <f ca="1">IFERROR(__xludf.DUMMYFUNCTION("MAX(IF(REGEXMATCH(E24,""^\d{1},\d{2}$""),VALUE(E24),0),IF(REGEXMATCH(F24,""^\d{1},\d{2}$""),VALUE(F24),0),IF(REGEXMATCH(G24,""^\d{1},\d{2}$""),VALUE(G24),0))"),3.79)</f>
        <v>3.79</v>
      </c>
      <c r="I24" s="21"/>
      <c r="J24" s="22"/>
    </row>
    <row r="25" spans="1:10" ht="13.2" x14ac:dyDescent="0.25">
      <c r="A25" s="17"/>
      <c r="B25" s="28">
        <v>5</v>
      </c>
      <c r="C25" s="29"/>
      <c r="D25" s="30"/>
      <c r="E25" s="60"/>
      <c r="F25" s="60"/>
      <c r="G25" s="60"/>
      <c r="H25" s="61">
        <f ca="1">IFERROR(__xludf.DUMMYFUNCTION("MAX(IF(REGEXMATCH(E25,""^\d{1},\d{2}$""),VALUE(E25),0),IF(REGEXMATCH(F25,""^\d{1},\d{2}$""),VALUE(F25),0),IF(REGEXMATCH(G25,""^\d{1},\d{2}$""),VALUE(G25),0))"),0)</f>
        <v>0</v>
      </c>
      <c r="I25" s="21"/>
      <c r="J25" s="22"/>
    </row>
    <row r="26" spans="1:10" ht="13.2" x14ac:dyDescent="0.25">
      <c r="A26" s="17"/>
      <c r="B26" s="62" t="s">
        <v>18</v>
      </c>
      <c r="C26" s="36"/>
      <c r="D26" s="44" t="s">
        <v>61</v>
      </c>
      <c r="E26" s="38"/>
      <c r="F26" s="38"/>
      <c r="G26" s="38"/>
      <c r="H26" s="63"/>
      <c r="I26" s="21"/>
      <c r="J26" s="22"/>
    </row>
    <row r="27" spans="1:10" ht="13.2" x14ac:dyDescent="0.25">
      <c r="A27" s="17"/>
      <c r="B27" s="17"/>
      <c r="D27" s="18"/>
      <c r="E27" s="18"/>
      <c r="F27" s="18"/>
      <c r="G27" s="18"/>
      <c r="H27" s="58"/>
      <c r="I27" s="21"/>
      <c r="J27" s="22"/>
    </row>
    <row r="28" spans="1:10" ht="15.6" x14ac:dyDescent="0.25">
      <c r="A28" s="23">
        <v>4</v>
      </c>
      <c r="B28" s="97" t="s">
        <v>8</v>
      </c>
      <c r="C28" s="98"/>
      <c r="D28" s="98"/>
      <c r="E28" s="98"/>
      <c r="F28" s="98"/>
      <c r="G28" s="98"/>
      <c r="H28" s="59"/>
      <c r="I28" s="25">
        <f ca="1">IF(COUNTIFS(H29:H33,"&gt;0") &gt; 3, FLOOR((SUM(H29:H33)-MIN(H29,H30,H31,H32,H33))/4,0.0001), )</f>
        <v>3.8000000000000003</v>
      </c>
      <c r="J28" s="26">
        <f ca="1">IF(I28=0,"",RANK(I28,$I$4:$I$224,))</f>
        <v>4</v>
      </c>
    </row>
    <row r="29" spans="1:10" ht="13.2" x14ac:dyDescent="0.25">
      <c r="A29" s="17"/>
      <c r="B29" s="28">
        <v>1</v>
      </c>
      <c r="C29" s="29" t="s">
        <v>482</v>
      </c>
      <c r="D29" s="30" t="s">
        <v>15</v>
      </c>
      <c r="E29" s="60" t="s">
        <v>202</v>
      </c>
      <c r="F29" s="60" t="s">
        <v>84</v>
      </c>
      <c r="G29" s="60" t="s">
        <v>185</v>
      </c>
      <c r="H29" s="61">
        <f ca="1">IFERROR(__xludf.DUMMYFUNCTION("MAX(IF(REGEXMATCH(E29,""^\d{1},\d{2}$""),VALUE(E29),0),IF(REGEXMATCH(F29,""^\d{1},\d{2}$""),VALUE(F29),0),IF(REGEXMATCH(G29,""^\d{1},\d{2}$""),VALUE(G29),0))"),4.1)</f>
        <v>4.0999999999999996</v>
      </c>
      <c r="I29" s="21"/>
      <c r="J29" s="22"/>
    </row>
    <row r="30" spans="1:10" ht="13.2" x14ac:dyDescent="0.25">
      <c r="A30" s="17"/>
      <c r="B30" s="28">
        <v>2</v>
      </c>
      <c r="C30" s="29" t="s">
        <v>484</v>
      </c>
      <c r="D30" s="30" t="s">
        <v>10</v>
      </c>
      <c r="E30" s="60" t="s">
        <v>215</v>
      </c>
      <c r="F30" s="60" t="s">
        <v>542</v>
      </c>
      <c r="G30" s="60" t="s">
        <v>84</v>
      </c>
      <c r="H30" s="61">
        <f ca="1">IFERROR(__xludf.DUMMYFUNCTION("MAX(IF(REGEXMATCH(E30,""^\d{1},\d{2}$""),VALUE(E30),0),IF(REGEXMATCH(F30,""^\d{1},\d{2}$""),VALUE(F30),0),IF(REGEXMATCH(G30,""^\d{1},\d{2}$""),VALUE(G30),0))"),3.64)</f>
        <v>3.64</v>
      </c>
      <c r="I30" s="21"/>
      <c r="J30" s="22"/>
    </row>
    <row r="31" spans="1:10" ht="13.2" x14ac:dyDescent="0.25">
      <c r="A31" s="17"/>
      <c r="B31" s="28">
        <v>3</v>
      </c>
      <c r="C31" s="29" t="s">
        <v>485</v>
      </c>
      <c r="D31" s="30" t="s">
        <v>10</v>
      </c>
      <c r="E31" s="60" t="s">
        <v>170</v>
      </c>
      <c r="F31" s="60" t="s">
        <v>170</v>
      </c>
      <c r="G31" s="60" t="s">
        <v>543</v>
      </c>
      <c r="H31" s="61">
        <f ca="1">IFERROR(__xludf.DUMMYFUNCTION("MAX(IF(REGEXMATCH(E31,""^\d{1},\d{2}$""),VALUE(E31),0),IF(REGEXMATCH(F31,""^\d{1},\d{2}$""),VALUE(F31),0),IF(REGEXMATCH(G31,""^\d{1},\d{2}$""),VALUE(G31),0))"),4.14)</f>
        <v>4.1399999999999997</v>
      </c>
      <c r="I31" s="21"/>
      <c r="J31" s="22"/>
    </row>
    <row r="32" spans="1:10" ht="13.2" x14ac:dyDescent="0.25">
      <c r="A32" s="17"/>
      <c r="B32" s="28">
        <v>4</v>
      </c>
      <c r="C32" s="29" t="s">
        <v>486</v>
      </c>
      <c r="D32" s="30" t="s">
        <v>10</v>
      </c>
      <c r="E32" s="60" t="s">
        <v>544</v>
      </c>
      <c r="F32" s="60" t="s">
        <v>84</v>
      </c>
      <c r="G32" s="60" t="s">
        <v>545</v>
      </c>
      <c r="H32" s="61">
        <f ca="1">IFERROR(__xludf.DUMMYFUNCTION("MAX(IF(REGEXMATCH(E32,""^\d{1},\d{2}$""),VALUE(E32),0),IF(REGEXMATCH(F32,""^\d{1},\d{2}$""),VALUE(F32),0),IF(REGEXMATCH(G32,""^\d{1},\d{2}$""),VALUE(G32),0))"),3.32)</f>
        <v>3.32</v>
      </c>
      <c r="I32" s="21"/>
      <c r="J32" s="22"/>
    </row>
    <row r="33" spans="1:10" ht="13.2" x14ac:dyDescent="0.25">
      <c r="A33" s="17"/>
      <c r="B33" s="28">
        <v>5</v>
      </c>
      <c r="C33" s="29"/>
      <c r="D33" s="30"/>
      <c r="E33" s="60"/>
      <c r="F33" s="60"/>
      <c r="G33" s="60"/>
      <c r="H33" s="61">
        <f ca="1">IFERROR(__xludf.DUMMYFUNCTION("MAX(IF(REGEXMATCH(E33,""^\d{1},\d{2}$""),VALUE(E33),0),IF(REGEXMATCH(F33,""^\d{1},\d{2}$""),VALUE(F33),0),IF(REGEXMATCH(G33,""^\d{1},\d{2}$""),VALUE(G33),0))"),0)</f>
        <v>0</v>
      </c>
      <c r="I33" s="21"/>
      <c r="J33" s="22"/>
    </row>
    <row r="34" spans="1:10" ht="13.2" x14ac:dyDescent="0.25">
      <c r="A34" s="17"/>
      <c r="B34" s="62" t="s">
        <v>18</v>
      </c>
      <c r="C34" s="36"/>
      <c r="D34" s="44" t="s">
        <v>19</v>
      </c>
      <c r="E34" s="38"/>
      <c r="F34" s="38"/>
      <c r="G34" s="38"/>
      <c r="H34" s="63"/>
      <c r="I34" s="21"/>
      <c r="J34" s="22"/>
    </row>
    <row r="35" spans="1:10" ht="13.2" x14ac:dyDescent="0.25">
      <c r="A35" s="17"/>
      <c r="B35" s="17"/>
      <c r="D35" s="18"/>
      <c r="E35" s="18"/>
      <c r="F35" s="18"/>
      <c r="G35" s="18"/>
      <c r="H35" s="58"/>
      <c r="I35" s="21"/>
      <c r="J35" s="22"/>
    </row>
    <row r="36" spans="1:10" ht="15.6" x14ac:dyDescent="0.25">
      <c r="A36" s="23">
        <v>5</v>
      </c>
      <c r="B36" s="97" t="s">
        <v>37</v>
      </c>
      <c r="C36" s="98"/>
      <c r="D36" s="98"/>
      <c r="E36" s="98"/>
      <c r="F36" s="98"/>
      <c r="G36" s="98"/>
      <c r="H36" s="59"/>
      <c r="I36" s="25">
        <f ca="1">IF(COUNTIFS(H37:H41,"&gt;0") &gt; 3, FLOOR((SUM(H37:H41)-MIN(H37,H38,H39,H40,H41))/4,0.0001), )</f>
        <v>3.7550000000000003</v>
      </c>
      <c r="J36" s="26">
        <f ca="1">IF(I36=0,"",RANK(I36,$I$4:$I$224,))</f>
        <v>5</v>
      </c>
    </row>
    <row r="37" spans="1:10" ht="13.2" x14ac:dyDescent="0.25">
      <c r="A37" s="17"/>
      <c r="B37" s="28">
        <v>1</v>
      </c>
      <c r="C37" s="29" t="s">
        <v>493</v>
      </c>
      <c r="D37" s="30" t="s">
        <v>15</v>
      </c>
      <c r="E37" s="60" t="s">
        <v>151</v>
      </c>
      <c r="F37" s="60" t="s">
        <v>525</v>
      </c>
      <c r="G37" s="60" t="s">
        <v>84</v>
      </c>
      <c r="H37" s="61">
        <f ca="1">IFERROR(__xludf.DUMMYFUNCTION("MAX(IF(REGEXMATCH(E37,""^\d{1},\d{2}$""),VALUE(E37),0),IF(REGEXMATCH(F37,""^\d{1},\d{2}$""),VALUE(F37),0),IF(REGEXMATCH(G37,""^\d{1},\d{2}$""),VALUE(G37),0))"),3.72)</f>
        <v>3.72</v>
      </c>
      <c r="I37" s="21"/>
      <c r="J37" s="22"/>
    </row>
    <row r="38" spans="1:10" ht="13.2" x14ac:dyDescent="0.25">
      <c r="A38" s="17"/>
      <c r="B38" s="28">
        <v>2</v>
      </c>
      <c r="C38" s="29" t="s">
        <v>546</v>
      </c>
      <c r="D38" s="30" t="s">
        <v>10</v>
      </c>
      <c r="E38" s="60" t="s">
        <v>547</v>
      </c>
      <c r="F38" s="60" t="s">
        <v>84</v>
      </c>
      <c r="G38" s="60" t="s">
        <v>541</v>
      </c>
      <c r="H38" s="61">
        <f ca="1">IFERROR(__xludf.DUMMYFUNCTION("MAX(IF(REGEXMATCH(E38,""^\d{1},\d{2}$""),VALUE(E38),0),IF(REGEXMATCH(F38,""^\d{1},\d{2}$""),VALUE(F38),0),IF(REGEXMATCH(G38,""^\d{1},\d{2}$""),VALUE(G38),0))"),3.52)</f>
        <v>3.52</v>
      </c>
      <c r="I38" s="21"/>
      <c r="J38" s="22"/>
    </row>
    <row r="39" spans="1:10" ht="13.2" x14ac:dyDescent="0.25">
      <c r="A39" s="17"/>
      <c r="B39" s="28">
        <v>3</v>
      </c>
      <c r="C39" s="29" t="s">
        <v>494</v>
      </c>
      <c r="D39" s="30" t="s">
        <v>10</v>
      </c>
      <c r="E39" s="60" t="s">
        <v>84</v>
      </c>
      <c r="F39" s="60" t="s">
        <v>548</v>
      </c>
      <c r="G39" s="60" t="s">
        <v>549</v>
      </c>
      <c r="H39" s="61">
        <f ca="1">IFERROR(__xludf.DUMMYFUNCTION("MAX(IF(REGEXMATCH(E39,""^\d{1},\d{2}$""),VALUE(E39),0),IF(REGEXMATCH(F39,""^\d{1},\d{2}$""),VALUE(F39),0),IF(REGEXMATCH(G39,""^\d{1},\d{2}$""),VALUE(G39),0))"),4.01)</f>
        <v>4.01</v>
      </c>
      <c r="I39" s="21"/>
      <c r="J39" s="22"/>
    </row>
    <row r="40" spans="1:10" ht="13.2" x14ac:dyDescent="0.25">
      <c r="A40" s="17"/>
      <c r="B40" s="28">
        <v>4</v>
      </c>
      <c r="C40" s="29" t="s">
        <v>495</v>
      </c>
      <c r="D40" s="30" t="s">
        <v>15</v>
      </c>
      <c r="E40" s="60" t="s">
        <v>84</v>
      </c>
      <c r="F40" s="60" t="s">
        <v>84</v>
      </c>
      <c r="G40" s="60" t="s">
        <v>539</v>
      </c>
      <c r="H40" s="61">
        <f ca="1">IFERROR(__xludf.DUMMYFUNCTION("MAX(IF(REGEXMATCH(E40,""^\d{1},\d{2}$""),VALUE(E40),0),IF(REGEXMATCH(F40,""^\d{1},\d{2}$""),VALUE(F40),0),IF(REGEXMATCH(G40,""^\d{1},\d{2}$""),VALUE(G40),0))"),3.76)</f>
        <v>3.76</v>
      </c>
      <c r="I40" s="21"/>
      <c r="J40" s="22"/>
    </row>
    <row r="41" spans="1:10" ht="13.2" x14ac:dyDescent="0.25">
      <c r="A41" s="17"/>
      <c r="B41" s="28">
        <v>5</v>
      </c>
      <c r="C41" s="29" t="s">
        <v>550</v>
      </c>
      <c r="D41" s="30" t="s">
        <v>41</v>
      </c>
      <c r="E41" s="60" t="s">
        <v>208</v>
      </c>
      <c r="F41" s="60" t="s">
        <v>520</v>
      </c>
      <c r="G41" s="60" t="s">
        <v>551</v>
      </c>
      <c r="H41" s="61">
        <f ca="1">IFERROR(__xludf.DUMMYFUNCTION("MAX(IF(REGEXMATCH(E41,""^\d{1},\d{2}$""),VALUE(E41),0),IF(REGEXMATCH(F41,""^\d{1},\d{2}$""),VALUE(F41),0),IF(REGEXMATCH(G41,""^\d{1},\d{2}$""),VALUE(G41),0))"),3.53)</f>
        <v>3.53</v>
      </c>
      <c r="I41" s="21"/>
      <c r="J41" s="22"/>
    </row>
    <row r="42" spans="1:10" ht="13.2" x14ac:dyDescent="0.25">
      <c r="A42" s="17"/>
      <c r="B42" s="62" t="s">
        <v>18</v>
      </c>
      <c r="C42" s="36"/>
      <c r="D42" s="44" t="s">
        <v>45</v>
      </c>
      <c r="E42" s="38"/>
      <c r="F42" s="38"/>
      <c r="G42" s="38"/>
      <c r="H42" s="63"/>
      <c r="I42" s="21"/>
      <c r="J42" s="22"/>
    </row>
    <row r="43" spans="1:10" ht="13.2" x14ac:dyDescent="0.25">
      <c r="A43" s="17"/>
      <c r="B43" s="17"/>
      <c r="D43" s="18"/>
      <c r="E43" s="18"/>
      <c r="F43" s="18"/>
      <c r="G43" s="18"/>
      <c r="H43" s="58"/>
      <c r="I43" s="21"/>
      <c r="J43" s="22"/>
    </row>
    <row r="44" spans="1:10" ht="15.6" x14ac:dyDescent="0.25">
      <c r="A44" s="23">
        <v>6</v>
      </c>
      <c r="B44" s="97" t="s">
        <v>126</v>
      </c>
      <c r="C44" s="98"/>
      <c r="D44" s="98"/>
      <c r="E44" s="98"/>
      <c r="F44" s="98"/>
      <c r="G44" s="98"/>
      <c r="H44" s="59"/>
      <c r="I44" s="25">
        <f ca="1">IF(COUNTIFS(H45:H49,"&gt;0") &gt; 3, FLOOR((SUM(H45:H49)-MIN(H45,H46,H47,H48,H49))/4,0.0001), )</f>
        <v>3.7</v>
      </c>
      <c r="J44" s="26">
        <f ca="1">IF(I44=0,"",RANK(I44,$I$4:$I$224,))</f>
        <v>6</v>
      </c>
    </row>
    <row r="45" spans="1:10" ht="13.2" x14ac:dyDescent="0.25">
      <c r="A45" s="17"/>
      <c r="B45" s="28">
        <v>1</v>
      </c>
      <c r="C45" s="29" t="s">
        <v>552</v>
      </c>
      <c r="D45" s="30" t="s">
        <v>15</v>
      </c>
      <c r="E45" s="60" t="s">
        <v>84</v>
      </c>
      <c r="F45" s="60" t="s">
        <v>84</v>
      </c>
      <c r="G45" s="60" t="s">
        <v>535</v>
      </c>
      <c r="H45" s="61">
        <f ca="1">IFERROR(__xludf.DUMMYFUNCTION("MAX(IF(REGEXMATCH(E45,""^\d{1},\d{2}$""),VALUE(E45),0),IF(REGEXMATCH(F45,""^\d{1},\d{2}$""),VALUE(F45),0),IF(REGEXMATCH(G45,""^\d{1},\d{2}$""),VALUE(G45),0))"),3.69)</f>
        <v>3.69</v>
      </c>
      <c r="I45" s="21"/>
      <c r="J45" s="22"/>
    </row>
    <row r="46" spans="1:10" ht="13.2" x14ac:dyDescent="0.25">
      <c r="A46" s="17"/>
      <c r="B46" s="28">
        <v>2</v>
      </c>
      <c r="C46" s="29" t="s">
        <v>553</v>
      </c>
      <c r="D46" s="30" t="s">
        <v>10</v>
      </c>
      <c r="E46" s="60" t="s">
        <v>536</v>
      </c>
      <c r="F46" s="60" t="s">
        <v>118</v>
      </c>
      <c r="G46" s="60" t="s">
        <v>150</v>
      </c>
      <c r="H46" s="61">
        <f ca="1">IFERROR(__xludf.DUMMYFUNCTION("MAX(IF(REGEXMATCH(E46,""^\d{1},\d{2}$""),VALUE(E46),0),IF(REGEXMATCH(F46,""^\d{1},\d{2}$""),VALUE(F46),0),IF(REGEXMATCH(G46,""^\d{1},\d{2}$""),VALUE(G46),0))"),3.92)</f>
        <v>3.92</v>
      </c>
      <c r="I46" s="21"/>
      <c r="J46" s="22"/>
    </row>
    <row r="47" spans="1:10" ht="13.2" x14ac:dyDescent="0.25">
      <c r="A47" s="17"/>
      <c r="B47" s="28">
        <v>3</v>
      </c>
      <c r="C47" s="29" t="s">
        <v>554</v>
      </c>
      <c r="D47" s="30" t="s">
        <v>15</v>
      </c>
      <c r="E47" s="60" t="s">
        <v>555</v>
      </c>
      <c r="F47" s="60" t="s">
        <v>556</v>
      </c>
      <c r="G47" s="60" t="s">
        <v>84</v>
      </c>
      <c r="H47" s="61">
        <f ca="1">IFERROR(__xludf.DUMMYFUNCTION("MAX(IF(REGEXMATCH(E47,""^\d{1},\d{2}$""),VALUE(E47),0),IF(REGEXMATCH(F47,""^\d{1},\d{2}$""),VALUE(F47),0),IF(REGEXMATCH(G47,""^\d{1},\d{2}$""),VALUE(G47),0))"),3.29)</f>
        <v>3.29</v>
      </c>
      <c r="I47" s="21"/>
      <c r="J47" s="22"/>
    </row>
    <row r="48" spans="1:10" ht="13.2" x14ac:dyDescent="0.25">
      <c r="A48" s="17"/>
      <c r="B48" s="28">
        <v>4</v>
      </c>
      <c r="C48" s="29" t="s">
        <v>557</v>
      </c>
      <c r="D48" s="30" t="s">
        <v>10</v>
      </c>
      <c r="E48" s="60" t="s">
        <v>84</v>
      </c>
      <c r="F48" s="60" t="s">
        <v>558</v>
      </c>
      <c r="G48" s="60" t="s">
        <v>559</v>
      </c>
      <c r="H48" s="61">
        <f ca="1">IFERROR(__xludf.DUMMYFUNCTION("MAX(IF(REGEXMATCH(E48,""^\d{1},\d{2}$""),VALUE(E48),0),IF(REGEXMATCH(F48,""^\d{1},\d{2}$""),VALUE(F48),0),IF(REGEXMATCH(G48,""^\d{1},\d{2}$""),VALUE(G48),0))"),2.92)</f>
        <v>2.92</v>
      </c>
      <c r="I48" s="21"/>
      <c r="J48" s="22"/>
    </row>
    <row r="49" spans="1:10" ht="13.2" x14ac:dyDescent="0.25">
      <c r="A49" s="17"/>
      <c r="B49" s="28">
        <v>5</v>
      </c>
      <c r="C49" s="29" t="s">
        <v>560</v>
      </c>
      <c r="D49" s="30" t="s">
        <v>371</v>
      </c>
      <c r="E49" s="60" t="s">
        <v>166</v>
      </c>
      <c r="F49" s="60" t="s">
        <v>84</v>
      </c>
      <c r="G49" s="60" t="s">
        <v>561</v>
      </c>
      <c r="H49" s="61">
        <f ca="1">IFERROR(__xludf.DUMMYFUNCTION("MAX(IF(REGEXMATCH(E49,""^\d{1},\d{2}$""),VALUE(E49),0),IF(REGEXMATCH(F49,""^\d{1},\d{2}$""),VALUE(F49),0),IF(REGEXMATCH(G49,""^\d{1},\d{2}$""),VALUE(G49),0))"),3.9)</f>
        <v>3.9</v>
      </c>
      <c r="I49" s="21"/>
      <c r="J49" s="22"/>
    </row>
    <row r="50" spans="1:10" ht="13.2" x14ac:dyDescent="0.25">
      <c r="A50" s="17"/>
      <c r="B50" s="62" t="s">
        <v>18</v>
      </c>
      <c r="C50" s="36"/>
      <c r="D50" s="44" t="s">
        <v>562</v>
      </c>
      <c r="E50" s="38"/>
      <c r="F50" s="38"/>
      <c r="G50" s="38"/>
      <c r="H50" s="63"/>
      <c r="I50" s="21"/>
      <c r="J50" s="22"/>
    </row>
    <row r="51" spans="1:10" ht="13.2" x14ac:dyDescent="0.25">
      <c r="A51" s="17"/>
      <c r="B51" s="17"/>
      <c r="D51" s="18"/>
      <c r="E51" s="18"/>
      <c r="F51" s="18"/>
      <c r="G51" s="18"/>
      <c r="H51" s="58"/>
      <c r="I51" s="21"/>
      <c r="J51" s="22"/>
    </row>
    <row r="52" spans="1:10" ht="15.6" x14ac:dyDescent="0.25">
      <c r="A52" s="23">
        <v>7</v>
      </c>
      <c r="B52" s="97" t="s">
        <v>148</v>
      </c>
      <c r="C52" s="98"/>
      <c r="D52" s="98"/>
      <c r="E52" s="98"/>
      <c r="F52" s="98"/>
      <c r="G52" s="98"/>
      <c r="H52" s="59"/>
      <c r="I52" s="25">
        <f ca="1">IF(COUNTIFS(H53:H57,"&gt;0") &gt; 3, FLOOR((SUM(H53:H57)-MIN(H53,H54,H55,H56,H57))/4,0.0001), )</f>
        <v>3.625</v>
      </c>
      <c r="J52" s="26">
        <f ca="1">IF(I52=0,"",RANK(I52,$I$4:$I$224,))</f>
        <v>7</v>
      </c>
    </row>
    <row r="53" spans="1:10" ht="13.2" x14ac:dyDescent="0.25">
      <c r="A53" s="17"/>
      <c r="B53" s="28">
        <v>1</v>
      </c>
      <c r="C53" s="29" t="s">
        <v>563</v>
      </c>
      <c r="D53" s="30" t="s">
        <v>15</v>
      </c>
      <c r="E53" s="60" t="s">
        <v>564</v>
      </c>
      <c r="F53" s="60" t="s">
        <v>565</v>
      </c>
      <c r="G53" s="60" t="s">
        <v>188</v>
      </c>
      <c r="H53" s="61">
        <f ca="1">IFERROR(__xludf.DUMMYFUNCTION("MAX(IF(REGEXMATCH(E53,""^\d{1},\d{2}$""),VALUE(E53),0),IF(REGEXMATCH(F53,""^\d{1},\d{2}$""),VALUE(F53),0),IF(REGEXMATCH(G53,""^\d{1},\d{2}$""),VALUE(G53),0))"),3.66)</f>
        <v>3.66</v>
      </c>
      <c r="I53" s="21"/>
      <c r="J53" s="22"/>
    </row>
    <row r="54" spans="1:10" ht="13.2" x14ac:dyDescent="0.25">
      <c r="A54" s="17"/>
      <c r="B54" s="28">
        <v>2</v>
      </c>
      <c r="C54" s="29" t="s">
        <v>566</v>
      </c>
      <c r="D54" s="30" t="s">
        <v>41</v>
      </c>
      <c r="E54" s="60" t="s">
        <v>197</v>
      </c>
      <c r="F54" s="60" t="s">
        <v>211</v>
      </c>
      <c r="G54" s="60" t="s">
        <v>193</v>
      </c>
      <c r="H54" s="61">
        <f ca="1">IFERROR(__xludf.DUMMYFUNCTION("MAX(IF(REGEXMATCH(E54,""^\d{1},\d{2}$""),VALUE(E54),0),IF(REGEXMATCH(F54,""^\d{1},\d{2}$""),VALUE(F54),0),IF(REGEXMATCH(G54,""^\d{1},\d{2}$""),VALUE(G54),0))"),3.45)</f>
        <v>3.45</v>
      </c>
      <c r="I54" s="21"/>
      <c r="J54" s="22"/>
    </row>
    <row r="55" spans="1:10" ht="13.2" x14ac:dyDescent="0.25">
      <c r="A55" s="17"/>
      <c r="B55" s="28">
        <v>3</v>
      </c>
      <c r="C55" s="29" t="s">
        <v>567</v>
      </c>
      <c r="D55" s="30" t="s">
        <v>41</v>
      </c>
      <c r="E55" s="60" t="s">
        <v>568</v>
      </c>
      <c r="F55" s="60" t="s">
        <v>569</v>
      </c>
      <c r="G55" s="60" t="s">
        <v>570</v>
      </c>
      <c r="H55" s="61">
        <f ca="1">IFERROR(__xludf.DUMMYFUNCTION("MAX(IF(REGEXMATCH(E55,""^\d{1},\d{2}$""),VALUE(E55),0),IF(REGEXMATCH(F55,""^\d{1},\d{2}$""),VALUE(F55),0),IF(REGEXMATCH(G55,""^\d{1},\d{2}$""),VALUE(G55),0))"),3.06)</f>
        <v>3.06</v>
      </c>
      <c r="I55" s="21"/>
      <c r="J55" s="22"/>
    </row>
    <row r="56" spans="1:10" ht="13.2" x14ac:dyDescent="0.25">
      <c r="A56" s="17"/>
      <c r="B56" s="28">
        <v>4</v>
      </c>
      <c r="C56" s="29" t="s">
        <v>571</v>
      </c>
      <c r="D56" s="30" t="s">
        <v>41</v>
      </c>
      <c r="E56" s="60" t="s">
        <v>564</v>
      </c>
      <c r="F56" s="60" t="s">
        <v>215</v>
      </c>
      <c r="G56" s="60" t="s">
        <v>527</v>
      </c>
      <c r="H56" s="61">
        <f ca="1">IFERROR(__xludf.DUMMYFUNCTION("MAX(IF(REGEXMATCH(E56,""^\d{1},\d{2}$""),VALUE(E56),0),IF(REGEXMATCH(F56,""^\d{1},\d{2}$""),VALUE(F56),0),IF(REGEXMATCH(G56,""^\d{1},\d{2}$""),VALUE(G56),0))"),3.51)</f>
        <v>3.51</v>
      </c>
      <c r="I56" s="21"/>
      <c r="J56" s="22"/>
    </row>
    <row r="57" spans="1:10" ht="13.2" x14ac:dyDescent="0.25">
      <c r="A57" s="17"/>
      <c r="B57" s="28">
        <v>5</v>
      </c>
      <c r="C57" s="29" t="s">
        <v>572</v>
      </c>
      <c r="D57" s="30" t="s">
        <v>41</v>
      </c>
      <c r="E57" s="60" t="s">
        <v>573</v>
      </c>
      <c r="F57" s="60" t="s">
        <v>540</v>
      </c>
      <c r="G57" s="60" t="s">
        <v>526</v>
      </c>
      <c r="H57" s="61">
        <f ca="1">IFERROR(__xludf.DUMMYFUNCTION("MAX(IF(REGEXMATCH(E57,""^\d{1},\d{2}$""),VALUE(E57),0),IF(REGEXMATCH(F57,""^\d{1},\d{2}$""),VALUE(F57),0),IF(REGEXMATCH(G57,""^\d{1},\d{2}$""),VALUE(G57),0))"),3.88)</f>
        <v>3.88</v>
      </c>
      <c r="I57" s="21"/>
      <c r="J57" s="22"/>
    </row>
    <row r="58" spans="1:10" ht="13.2" x14ac:dyDescent="0.25">
      <c r="A58" s="17"/>
      <c r="B58" s="62" t="s">
        <v>18</v>
      </c>
      <c r="C58" s="36"/>
      <c r="D58" s="44" t="s">
        <v>163</v>
      </c>
      <c r="E58" s="38"/>
      <c r="F58" s="38"/>
      <c r="G58" s="38"/>
      <c r="H58" s="63"/>
      <c r="I58" s="21"/>
      <c r="J58" s="22"/>
    </row>
    <row r="59" spans="1:10" ht="13.2" x14ac:dyDescent="0.25">
      <c r="A59" s="17"/>
      <c r="B59" s="17"/>
      <c r="D59" s="18"/>
      <c r="E59" s="18"/>
      <c r="F59" s="18"/>
      <c r="G59" s="18"/>
      <c r="H59" s="58"/>
      <c r="I59" s="21"/>
      <c r="J59" s="22"/>
    </row>
    <row r="60" spans="1:10" ht="15.6" x14ac:dyDescent="0.25">
      <c r="A60" s="23">
        <v>8</v>
      </c>
      <c r="B60" s="97" t="s">
        <v>78</v>
      </c>
      <c r="C60" s="98"/>
      <c r="D60" s="98"/>
      <c r="E60" s="98"/>
      <c r="F60" s="98"/>
      <c r="G60" s="98"/>
      <c r="H60" s="59"/>
      <c r="I60" s="25">
        <f ca="1">IF(COUNTIFS(H61:H65,"&gt;0") &gt; 3, FLOOR((SUM(H61:H65)-MIN(H61,H62,H63,H64,H65))/4,0.0001), )</f>
        <v>3.5675000000000003</v>
      </c>
      <c r="J60" s="26">
        <f ca="1">IF(I60=0,"",RANK(I60,$I$4:$I$224,))</f>
        <v>8</v>
      </c>
    </row>
    <row r="61" spans="1:10" ht="13.2" x14ac:dyDescent="0.25">
      <c r="A61" s="17"/>
      <c r="B61" s="28">
        <v>1</v>
      </c>
      <c r="C61" s="29" t="s">
        <v>574</v>
      </c>
      <c r="D61" s="30" t="s">
        <v>41</v>
      </c>
      <c r="E61" s="60" t="s">
        <v>84</v>
      </c>
      <c r="F61" s="60" t="s">
        <v>84</v>
      </c>
      <c r="G61" s="60" t="s">
        <v>541</v>
      </c>
      <c r="H61" s="61">
        <f ca="1">IFERROR(__xludf.DUMMYFUNCTION("MAX(IF(REGEXMATCH(E61,""^\d{1},\d{2}$""),VALUE(E61),0),IF(REGEXMATCH(F61,""^\d{1},\d{2}$""),VALUE(F61),0),IF(REGEXMATCH(G61,""^\d{1},\d{2}$""),VALUE(G61),0))"),3.52)</f>
        <v>3.52</v>
      </c>
      <c r="I61" s="21"/>
      <c r="J61" s="22"/>
    </row>
    <row r="62" spans="1:10" ht="13.2" x14ac:dyDescent="0.25">
      <c r="A62" s="17"/>
      <c r="B62" s="28">
        <v>2</v>
      </c>
      <c r="C62" s="29" t="s">
        <v>575</v>
      </c>
      <c r="D62" s="30" t="s">
        <v>41</v>
      </c>
      <c r="E62" s="60" t="s">
        <v>84</v>
      </c>
      <c r="F62" s="60" t="s">
        <v>84</v>
      </c>
      <c r="G62" s="60" t="s">
        <v>576</v>
      </c>
      <c r="H62" s="61">
        <f ca="1">IFERROR(__xludf.DUMMYFUNCTION("MAX(IF(REGEXMATCH(E62,""^\d{1},\d{2}$""),VALUE(E62),0),IF(REGEXMATCH(F62,""^\d{1},\d{2}$""),VALUE(F62),0),IF(REGEXMATCH(G62,""^\d{1},\d{2}$""),VALUE(G62),0))"),3.17)</f>
        <v>3.17</v>
      </c>
      <c r="I62" s="21"/>
      <c r="J62" s="22"/>
    </row>
    <row r="63" spans="1:10" ht="13.2" x14ac:dyDescent="0.25">
      <c r="A63" s="17"/>
      <c r="B63" s="28">
        <v>3</v>
      </c>
      <c r="C63" s="29" t="s">
        <v>577</v>
      </c>
      <c r="D63" s="30" t="s">
        <v>15</v>
      </c>
      <c r="E63" s="60" t="s">
        <v>145</v>
      </c>
      <c r="F63" s="60" t="s">
        <v>206</v>
      </c>
      <c r="G63" s="60" t="s">
        <v>537</v>
      </c>
      <c r="H63" s="61">
        <f ca="1">IFERROR(__xludf.DUMMYFUNCTION("MAX(IF(REGEXMATCH(E63,""^\d{1},\d{2}$""),VALUE(E63),0),IF(REGEXMATCH(F63,""^\d{1},\d{2}$""),VALUE(F63),0),IF(REGEXMATCH(G63,""^\d{1},\d{2}$""),VALUE(G63),0))"),3.82)</f>
        <v>3.82</v>
      </c>
      <c r="I63" s="21"/>
      <c r="J63" s="22"/>
    </row>
    <row r="64" spans="1:10" ht="13.2" x14ac:dyDescent="0.25">
      <c r="A64" s="17"/>
      <c r="B64" s="28">
        <v>4</v>
      </c>
      <c r="C64" s="29" t="s">
        <v>578</v>
      </c>
      <c r="D64" s="30" t="s">
        <v>15</v>
      </c>
      <c r="E64" s="60" t="s">
        <v>579</v>
      </c>
      <c r="F64" s="60" t="s">
        <v>580</v>
      </c>
      <c r="G64" s="60" t="s">
        <v>84</v>
      </c>
      <c r="H64" s="61">
        <f ca="1">IFERROR(__xludf.DUMMYFUNCTION("MAX(IF(REGEXMATCH(E64,""^\d{1},\d{2}$""),VALUE(E64),0),IF(REGEXMATCH(F64,""^\d{1},\d{2}$""),VALUE(F64),0),IF(REGEXMATCH(G64,""^\d{1},\d{2}$""),VALUE(G64),0))"),3.47)</f>
        <v>3.47</v>
      </c>
      <c r="I64" s="21"/>
      <c r="J64" s="22"/>
    </row>
    <row r="65" spans="1:10" ht="13.2" x14ac:dyDescent="0.25">
      <c r="A65" s="17"/>
      <c r="B65" s="28">
        <v>5</v>
      </c>
      <c r="C65" s="29" t="s">
        <v>581</v>
      </c>
      <c r="D65" s="30" t="s">
        <v>10</v>
      </c>
      <c r="E65" s="60" t="s">
        <v>211</v>
      </c>
      <c r="F65" s="60" t="s">
        <v>157</v>
      </c>
      <c r="G65" s="60" t="s">
        <v>580</v>
      </c>
      <c r="H65" s="61">
        <f ca="1">IFERROR(__xludf.DUMMYFUNCTION("MAX(IF(REGEXMATCH(E65,""^\d{1},\d{2}$""),VALUE(E65),0),IF(REGEXMATCH(F65,""^\d{1},\d{2}$""),VALUE(F65),0),IF(REGEXMATCH(G65,""^\d{1},\d{2}$""),VALUE(G65),0))"),3.46)</f>
        <v>3.46</v>
      </c>
      <c r="I65" s="21"/>
      <c r="J65" s="22"/>
    </row>
    <row r="66" spans="1:10" ht="13.2" x14ac:dyDescent="0.25">
      <c r="A66" s="17"/>
      <c r="B66" s="62" t="s">
        <v>18</v>
      </c>
      <c r="C66" s="36"/>
      <c r="D66" s="44" t="s">
        <v>95</v>
      </c>
      <c r="E66" s="38"/>
      <c r="F66" s="38"/>
      <c r="G66" s="38"/>
      <c r="H66" s="63"/>
      <c r="I66" s="21"/>
      <c r="J66" s="22"/>
    </row>
    <row r="67" spans="1:10" ht="13.2" x14ac:dyDescent="0.25">
      <c r="A67" s="17"/>
      <c r="B67" s="17"/>
      <c r="D67" s="18"/>
      <c r="E67" s="18"/>
      <c r="F67" s="18"/>
      <c r="G67" s="18"/>
      <c r="H67" s="58"/>
      <c r="I67" s="21"/>
      <c r="J67" s="22"/>
    </row>
    <row r="68" spans="1:10" ht="15.6" x14ac:dyDescent="0.25">
      <c r="A68" s="23">
        <v>9</v>
      </c>
      <c r="B68" s="97" t="s">
        <v>209</v>
      </c>
      <c r="C68" s="98"/>
      <c r="D68" s="98"/>
      <c r="E68" s="98"/>
      <c r="F68" s="98"/>
      <c r="G68" s="98"/>
      <c r="H68" s="59"/>
      <c r="I68" s="25">
        <f ca="1">IF(COUNTIFS(H69:H73,"&gt;0") &gt; 3, FLOOR((SUM(H69:H73)-MIN(H69,H70,H71,H72,H73))/4,0.0001), )</f>
        <v>3.4175</v>
      </c>
      <c r="J68" s="26">
        <f ca="1">IF(I68=0,"",RANK(I68,$I$4:$I$224,))</f>
        <v>9</v>
      </c>
    </row>
    <row r="69" spans="1:10" ht="13.2" x14ac:dyDescent="0.25">
      <c r="A69" s="17"/>
      <c r="B69" s="28">
        <v>1</v>
      </c>
      <c r="C69" s="29" t="s">
        <v>582</v>
      </c>
      <c r="D69" s="30" t="s">
        <v>15</v>
      </c>
      <c r="E69" s="60" t="s">
        <v>527</v>
      </c>
      <c r="F69" s="60" t="s">
        <v>84</v>
      </c>
      <c r="G69" s="60" t="s">
        <v>173</v>
      </c>
      <c r="H69" s="61">
        <f ca="1">IFERROR(__xludf.DUMMYFUNCTION("MAX(IF(REGEXMATCH(E69,""^\d{1},\d{2}$""),VALUE(E69),0),IF(REGEXMATCH(F69,""^\d{1},\d{2}$""),VALUE(F69),0),IF(REGEXMATCH(G69,""^\d{1},\d{2}$""),VALUE(G69),0))"),3.54)</f>
        <v>3.54</v>
      </c>
      <c r="I69" s="21"/>
      <c r="J69" s="22"/>
    </row>
    <row r="70" spans="1:10" ht="13.2" x14ac:dyDescent="0.25">
      <c r="A70" s="17"/>
      <c r="B70" s="28">
        <v>2</v>
      </c>
      <c r="C70" s="29" t="s">
        <v>583</v>
      </c>
      <c r="D70" s="30" t="s">
        <v>41</v>
      </c>
      <c r="E70" s="60" t="s">
        <v>84</v>
      </c>
      <c r="F70" s="60" t="s">
        <v>84</v>
      </c>
      <c r="G70" s="60" t="s">
        <v>84</v>
      </c>
      <c r="H70" s="61">
        <f ca="1">IFERROR(__xludf.DUMMYFUNCTION("MAX(IF(REGEXMATCH(E70,""^\d{1},\d{2}$""),VALUE(E70),0),IF(REGEXMATCH(F70,""^\d{1},\d{2}$""),VALUE(F70),0),IF(REGEXMATCH(G70,""^\d{1},\d{2}$""),VALUE(G70),0))"),0)</f>
        <v>0</v>
      </c>
      <c r="I70" s="21"/>
      <c r="J70" s="22"/>
    </row>
    <row r="71" spans="1:10" ht="13.2" x14ac:dyDescent="0.25">
      <c r="A71" s="17"/>
      <c r="B71" s="28">
        <v>3</v>
      </c>
      <c r="C71" s="29" t="s">
        <v>584</v>
      </c>
      <c r="D71" s="30" t="s">
        <v>15</v>
      </c>
      <c r="E71" s="60" t="s">
        <v>84</v>
      </c>
      <c r="F71" s="60" t="s">
        <v>198</v>
      </c>
      <c r="G71" s="60" t="s">
        <v>84</v>
      </c>
      <c r="H71" s="61">
        <f ca="1">IFERROR(__xludf.DUMMYFUNCTION("MAX(IF(REGEXMATCH(E71,""^\d{1},\d{2}$""),VALUE(E71),0),IF(REGEXMATCH(F71,""^\d{1},\d{2}$""),VALUE(F71),0),IF(REGEXMATCH(G71,""^\d{1},\d{2}$""),VALUE(G71),0))"),3.65)</f>
        <v>3.65</v>
      </c>
      <c r="I71" s="21"/>
      <c r="J71" s="22"/>
    </row>
    <row r="72" spans="1:10" ht="13.2" x14ac:dyDescent="0.25">
      <c r="A72" s="17"/>
      <c r="B72" s="28">
        <v>4</v>
      </c>
      <c r="C72" s="29" t="s">
        <v>585</v>
      </c>
      <c r="D72" s="30" t="s">
        <v>15</v>
      </c>
      <c r="E72" s="60" t="s">
        <v>545</v>
      </c>
      <c r="F72" s="60" t="s">
        <v>212</v>
      </c>
      <c r="G72" s="60" t="s">
        <v>84</v>
      </c>
      <c r="H72" s="61">
        <f ca="1">IFERROR(__xludf.DUMMYFUNCTION("MAX(IF(REGEXMATCH(E72,""^\d{1},\d{2}$""),VALUE(E72),0),IF(REGEXMATCH(F72,""^\d{1},\d{2}$""),VALUE(F72),0),IF(REGEXMATCH(G72,""^\d{1},\d{2}$""),VALUE(G72),0))"),3.33)</f>
        <v>3.33</v>
      </c>
      <c r="I72" s="21"/>
      <c r="J72" s="22"/>
    </row>
    <row r="73" spans="1:10" ht="13.2" x14ac:dyDescent="0.25">
      <c r="A73" s="17"/>
      <c r="B73" s="28">
        <v>5</v>
      </c>
      <c r="C73" s="29" t="s">
        <v>586</v>
      </c>
      <c r="D73" s="30" t="s">
        <v>41</v>
      </c>
      <c r="E73" s="60" t="s">
        <v>587</v>
      </c>
      <c r="F73" s="60" t="s">
        <v>84</v>
      </c>
      <c r="G73" s="60" t="s">
        <v>588</v>
      </c>
      <c r="H73" s="61">
        <f ca="1">IFERROR(__xludf.DUMMYFUNCTION("MAX(IF(REGEXMATCH(E73,""^\d{1},\d{2}$""),VALUE(E73),0),IF(REGEXMATCH(F73,""^\d{1},\d{2}$""),VALUE(F73),0),IF(REGEXMATCH(G73,""^\d{1},\d{2}$""),VALUE(G73),0))"),3.15)</f>
        <v>3.15</v>
      </c>
      <c r="I73" s="21"/>
      <c r="J73" s="22"/>
    </row>
    <row r="74" spans="1:10" ht="13.2" x14ac:dyDescent="0.25">
      <c r="A74" s="17"/>
      <c r="B74" s="62" t="s">
        <v>18</v>
      </c>
      <c r="C74" s="36"/>
      <c r="D74" s="44" t="s">
        <v>218</v>
      </c>
      <c r="E74" s="38"/>
      <c r="F74" s="38"/>
      <c r="G74" s="38"/>
      <c r="H74" s="63"/>
      <c r="I74" s="21"/>
      <c r="J74" s="22"/>
    </row>
    <row r="75" spans="1:10" ht="13.2" x14ac:dyDescent="0.25">
      <c r="A75" s="17"/>
      <c r="B75" s="17"/>
      <c r="D75" s="18"/>
      <c r="E75" s="18"/>
      <c r="F75" s="18"/>
      <c r="G75" s="18"/>
      <c r="H75" s="58"/>
      <c r="I75" s="21"/>
      <c r="J75" s="22"/>
    </row>
    <row r="76" spans="1:10" ht="15.6" x14ac:dyDescent="0.25">
      <c r="A76" s="23">
        <v>10</v>
      </c>
      <c r="B76" s="97" t="s">
        <v>589</v>
      </c>
      <c r="C76" s="98"/>
      <c r="D76" s="98"/>
      <c r="E76" s="98"/>
      <c r="F76" s="98"/>
      <c r="G76" s="98"/>
      <c r="H76" s="59"/>
      <c r="I76" s="25">
        <f ca="1">IF(COUNTIFS(H77:H81,"&gt;0") &gt; 3, FLOOR((SUM(H77:H81)-MIN(H77,H78,H79,H80,H81))/4,0.0001), )</f>
        <v>2.71</v>
      </c>
      <c r="J76" s="26">
        <f ca="1">IF(I76=0,"",RANK(I76,$I$4:$I$224,))</f>
        <v>10</v>
      </c>
    </row>
    <row r="77" spans="1:10" ht="13.2" x14ac:dyDescent="0.25">
      <c r="A77" s="17"/>
      <c r="B77" s="28">
        <v>1</v>
      </c>
      <c r="C77" s="29" t="s">
        <v>590</v>
      </c>
      <c r="D77" s="30" t="s">
        <v>371</v>
      </c>
      <c r="E77" s="60" t="s">
        <v>591</v>
      </c>
      <c r="F77" s="60" t="s">
        <v>84</v>
      </c>
      <c r="G77" s="60" t="s">
        <v>592</v>
      </c>
      <c r="H77" s="61">
        <f ca="1">IFERROR(__xludf.DUMMYFUNCTION("MAX(IF(REGEXMATCH(E77,""^\d{1},\d{2}$""),VALUE(E77),0),IF(REGEXMATCH(F77,""^\d{1},\d{2}$""),VALUE(F77),0),IF(REGEXMATCH(G77,""^\d{1},\d{2}$""),VALUE(G77),0))"),2.88)</f>
        <v>2.88</v>
      </c>
      <c r="I77" s="21"/>
      <c r="J77" s="22"/>
    </row>
    <row r="78" spans="1:10" ht="13.2" x14ac:dyDescent="0.25">
      <c r="A78" s="17"/>
      <c r="B78" s="28">
        <v>2</v>
      </c>
      <c r="C78" s="29" t="s">
        <v>593</v>
      </c>
      <c r="D78" s="30" t="s">
        <v>41</v>
      </c>
      <c r="E78" s="60" t="s">
        <v>84</v>
      </c>
      <c r="F78" s="60" t="s">
        <v>594</v>
      </c>
      <c r="G78" s="60" t="s">
        <v>595</v>
      </c>
      <c r="H78" s="61">
        <f ca="1">IFERROR(__xludf.DUMMYFUNCTION("MAX(IF(REGEXMATCH(E78,""^\d{1},\d{2}$""),VALUE(E78),0),IF(REGEXMATCH(F78,""^\d{1},\d{2}$""),VALUE(F78),0),IF(REGEXMATCH(G78,""^\d{1},\d{2}$""),VALUE(G78),0))"),2.57)</f>
        <v>2.57</v>
      </c>
      <c r="I78" s="21"/>
      <c r="J78" s="22"/>
    </row>
    <row r="79" spans="1:10" ht="13.2" x14ac:dyDescent="0.25">
      <c r="A79" s="17"/>
      <c r="B79" s="28">
        <v>3</v>
      </c>
      <c r="C79" s="29" t="s">
        <v>596</v>
      </c>
      <c r="D79" s="30" t="s">
        <v>41</v>
      </c>
      <c r="E79" s="60" t="s">
        <v>591</v>
      </c>
      <c r="F79" s="60" t="s">
        <v>592</v>
      </c>
      <c r="G79" s="60" t="s">
        <v>558</v>
      </c>
      <c r="H79" s="61">
        <f ca="1">IFERROR(__xludf.DUMMYFUNCTION("MAX(IF(REGEXMATCH(E79,""^\d{1},\d{2}$""),VALUE(E79),0),IF(REGEXMATCH(F79,""^\d{1},\d{2}$""),VALUE(F79),0),IF(REGEXMATCH(G79,""^\d{1},\d{2}$""),VALUE(G79),0))"),2.92)</f>
        <v>2.92</v>
      </c>
      <c r="I79" s="21"/>
      <c r="J79" s="22"/>
    </row>
    <row r="80" spans="1:10" ht="13.2" x14ac:dyDescent="0.25">
      <c r="A80" s="17"/>
      <c r="B80" s="28">
        <v>4</v>
      </c>
      <c r="C80" s="29" t="s">
        <v>597</v>
      </c>
      <c r="D80" s="30" t="s">
        <v>15</v>
      </c>
      <c r="E80" s="60" t="s">
        <v>84</v>
      </c>
      <c r="F80" s="60" t="s">
        <v>84</v>
      </c>
      <c r="G80" s="60" t="s">
        <v>594</v>
      </c>
      <c r="H80" s="61">
        <f ca="1">IFERROR(__xludf.DUMMYFUNCTION("MAX(IF(REGEXMATCH(E80,""^\d{1},\d{2}$""),VALUE(E80),0),IF(REGEXMATCH(F80,""^\d{1},\d{2}$""),VALUE(F80),0),IF(REGEXMATCH(G80,""^\d{1},\d{2}$""),VALUE(G80),0))"),2.47)</f>
        <v>2.4700000000000002</v>
      </c>
      <c r="I80" s="21"/>
      <c r="J80" s="22"/>
    </row>
    <row r="81" spans="1:10" ht="13.2" x14ac:dyDescent="0.25">
      <c r="A81" s="17"/>
      <c r="B81" s="28">
        <v>5</v>
      </c>
      <c r="C81" s="29"/>
      <c r="D81" s="30"/>
      <c r="E81" s="60"/>
      <c r="F81" s="60"/>
      <c r="G81" s="60"/>
      <c r="H81" s="61">
        <f ca="1">IFERROR(__xludf.DUMMYFUNCTION("MAX(IF(REGEXMATCH(E81,""^\d{1},\d{2}$""),VALUE(E81),0),IF(REGEXMATCH(F81,""^\d{1},\d{2}$""),VALUE(F81),0),IF(REGEXMATCH(G81,""^\d{1},\d{2}$""),VALUE(G81),0))"),0)</f>
        <v>0</v>
      </c>
      <c r="I81" s="21"/>
      <c r="J81" s="22"/>
    </row>
    <row r="82" spans="1:10" ht="13.2" x14ac:dyDescent="0.25">
      <c r="A82" s="17"/>
      <c r="B82" s="62" t="s">
        <v>18</v>
      </c>
      <c r="C82" s="36"/>
      <c r="D82" s="44" t="s">
        <v>598</v>
      </c>
      <c r="E82" s="38"/>
      <c r="F82" s="38"/>
      <c r="G82" s="38"/>
      <c r="H82" s="63"/>
      <c r="I82" s="21"/>
      <c r="J82" s="22"/>
    </row>
    <row r="83" spans="1:10" ht="13.2" x14ac:dyDescent="0.25">
      <c r="A83" s="17"/>
      <c r="B83" s="17"/>
      <c r="D83" s="18"/>
      <c r="E83" s="18"/>
      <c r="F83" s="18"/>
      <c r="G83" s="18"/>
      <c r="H83" s="58"/>
      <c r="I83" s="21"/>
      <c r="J83" s="22"/>
    </row>
    <row r="84" spans="1:10" ht="15.6" x14ac:dyDescent="0.25">
      <c r="A84" s="23">
        <v>11</v>
      </c>
      <c r="B84" s="97"/>
      <c r="C84" s="98"/>
      <c r="D84" s="98"/>
      <c r="E84" s="98"/>
      <c r="F84" s="98"/>
      <c r="G84" s="98"/>
      <c r="H84" s="59"/>
      <c r="I84" s="25">
        <f ca="1">IF(COUNTIFS(H85:H89,"&gt;0") &gt; 3, FLOOR((SUM(H85:H89)-MIN(H85,H86,H87,H88,H89))/4,0.0001), )</f>
        <v>0</v>
      </c>
      <c r="J84" s="26" t="str">
        <f ca="1">IF(I84=0,"",RANK(I84,$I$4:$I$224,))</f>
        <v/>
      </c>
    </row>
    <row r="85" spans="1:10" ht="13.2" x14ac:dyDescent="0.25">
      <c r="A85" s="17"/>
      <c r="B85" s="28">
        <v>1</v>
      </c>
      <c r="C85" s="29"/>
      <c r="D85" s="30"/>
      <c r="E85" s="60"/>
      <c r="F85" s="60"/>
      <c r="G85" s="60"/>
      <c r="H85" s="61">
        <f ca="1">IFERROR(__xludf.DUMMYFUNCTION("MAX(IF(REGEXMATCH(E85,""^\d{1},\d{2}$""),VALUE(E85),0),IF(REGEXMATCH(F85,""^\d{1},\d{2}$""),VALUE(F85),0),IF(REGEXMATCH(G85,""^\d{1},\d{2}$""),VALUE(G85),0))"),0)</f>
        <v>0</v>
      </c>
      <c r="I85" s="21"/>
      <c r="J85" s="22"/>
    </row>
    <row r="86" spans="1:10" ht="13.2" x14ac:dyDescent="0.25">
      <c r="A86" s="17"/>
      <c r="B86" s="28">
        <v>2</v>
      </c>
      <c r="C86" s="29"/>
      <c r="D86" s="30"/>
      <c r="E86" s="60"/>
      <c r="F86" s="60"/>
      <c r="G86" s="60"/>
      <c r="H86" s="61">
        <f ca="1">IFERROR(__xludf.DUMMYFUNCTION("MAX(IF(REGEXMATCH(E86,""^\d{1},\d{2}$""),VALUE(E86),0),IF(REGEXMATCH(F86,""^\d{1},\d{2}$""),VALUE(F86),0),IF(REGEXMATCH(G86,""^\d{1},\d{2}$""),VALUE(G86),0))"),0)</f>
        <v>0</v>
      </c>
      <c r="I86" s="21"/>
      <c r="J86" s="22"/>
    </row>
    <row r="87" spans="1:10" ht="13.2" x14ac:dyDescent="0.25">
      <c r="A87" s="17"/>
      <c r="B87" s="28">
        <v>3</v>
      </c>
      <c r="C87" s="29"/>
      <c r="D87" s="30"/>
      <c r="E87" s="60"/>
      <c r="F87" s="60"/>
      <c r="G87" s="60"/>
      <c r="H87" s="61">
        <f ca="1">IFERROR(__xludf.DUMMYFUNCTION("MAX(IF(REGEXMATCH(E87,""^\d{1},\d{2}$""),VALUE(E87),0),IF(REGEXMATCH(F87,""^\d{1},\d{2}$""),VALUE(F87),0),IF(REGEXMATCH(G87,""^\d{1},\d{2}$""),VALUE(G87),0))"),0)</f>
        <v>0</v>
      </c>
      <c r="I87" s="21"/>
      <c r="J87" s="22"/>
    </row>
    <row r="88" spans="1:10" ht="13.2" x14ac:dyDescent="0.25">
      <c r="A88" s="17"/>
      <c r="B88" s="28">
        <v>4</v>
      </c>
      <c r="C88" s="29"/>
      <c r="D88" s="30"/>
      <c r="E88" s="60"/>
      <c r="F88" s="60"/>
      <c r="G88" s="60"/>
      <c r="H88" s="61">
        <f ca="1">IFERROR(__xludf.DUMMYFUNCTION("MAX(IF(REGEXMATCH(E88,""^\d{1},\d{2}$""),VALUE(E88),0),IF(REGEXMATCH(F88,""^\d{1},\d{2}$""),VALUE(F88),0),IF(REGEXMATCH(G88,""^\d{1},\d{2}$""),VALUE(G88),0))"),0)</f>
        <v>0</v>
      </c>
      <c r="I88" s="21"/>
      <c r="J88" s="22"/>
    </row>
    <row r="89" spans="1:10" ht="13.2" x14ac:dyDescent="0.25">
      <c r="A89" s="17"/>
      <c r="B89" s="28">
        <v>5</v>
      </c>
      <c r="C89" s="29"/>
      <c r="D89" s="30"/>
      <c r="E89" s="60"/>
      <c r="F89" s="60"/>
      <c r="G89" s="60"/>
      <c r="H89" s="61">
        <f ca="1">IFERROR(__xludf.DUMMYFUNCTION("MAX(IF(REGEXMATCH(E89,""^\d{1},\d{2}$""),VALUE(E89),0),IF(REGEXMATCH(F89,""^\d{1},\d{2}$""),VALUE(F89),0),IF(REGEXMATCH(G89,""^\d{1},\d{2}$""),VALUE(G89),0))"),0)</f>
        <v>0</v>
      </c>
      <c r="I89" s="21"/>
      <c r="J89" s="22"/>
    </row>
    <row r="90" spans="1:10" ht="13.2" x14ac:dyDescent="0.25">
      <c r="A90" s="17"/>
      <c r="B90" s="62" t="s">
        <v>18</v>
      </c>
      <c r="C90" s="36"/>
      <c r="D90" s="44"/>
      <c r="E90" s="38"/>
      <c r="F90" s="38"/>
      <c r="G90" s="38"/>
      <c r="H90" s="63"/>
      <c r="I90" s="21"/>
      <c r="J90" s="22"/>
    </row>
    <row r="91" spans="1:10" ht="13.2" x14ac:dyDescent="0.25">
      <c r="A91" s="17"/>
      <c r="B91" s="17"/>
      <c r="D91" s="18"/>
      <c r="E91" s="18"/>
      <c r="F91" s="18"/>
      <c r="G91" s="18"/>
      <c r="H91" s="58"/>
      <c r="I91" s="21"/>
      <c r="J91" s="22"/>
    </row>
    <row r="92" spans="1:10" ht="15.6" x14ac:dyDescent="0.25">
      <c r="A92" s="23">
        <v>12</v>
      </c>
      <c r="B92" s="97"/>
      <c r="C92" s="98"/>
      <c r="D92" s="98"/>
      <c r="E92" s="98"/>
      <c r="F92" s="98"/>
      <c r="G92" s="98"/>
      <c r="H92" s="59"/>
      <c r="I92" s="25">
        <f ca="1">IF(COUNTIFS(H93:H97,"&gt;0") &gt; 3, FLOOR((SUM(H93:H97)-MIN(H93,H94,H95,H96,H97))/4,0.0001), )</f>
        <v>0</v>
      </c>
      <c r="J92" s="26" t="str">
        <f ca="1">IF(I92=0,"",RANK(I92,$I$4:$I$224,))</f>
        <v/>
      </c>
    </row>
    <row r="93" spans="1:10" ht="13.2" x14ac:dyDescent="0.25">
      <c r="A93" s="17"/>
      <c r="B93" s="28">
        <v>1</v>
      </c>
      <c r="C93" s="29"/>
      <c r="D93" s="30"/>
      <c r="E93" s="60"/>
      <c r="F93" s="60"/>
      <c r="G93" s="60"/>
      <c r="H93" s="61">
        <f ca="1">IFERROR(__xludf.DUMMYFUNCTION("MAX(IF(REGEXMATCH(E93,""^\d{1},\d{2}$""),VALUE(E93),0),IF(REGEXMATCH(F93,""^\d{1},\d{2}$""),VALUE(F93),0),IF(REGEXMATCH(G93,""^\d{1},\d{2}$""),VALUE(G93),0))"),0)</f>
        <v>0</v>
      </c>
      <c r="I93" s="21"/>
      <c r="J93" s="22"/>
    </row>
    <row r="94" spans="1:10" ht="13.2" x14ac:dyDescent="0.25">
      <c r="A94" s="17"/>
      <c r="B94" s="28">
        <v>2</v>
      </c>
      <c r="C94" s="29"/>
      <c r="D94" s="30"/>
      <c r="E94" s="60"/>
      <c r="F94" s="60"/>
      <c r="G94" s="60"/>
      <c r="H94" s="61">
        <f ca="1">IFERROR(__xludf.DUMMYFUNCTION("MAX(IF(REGEXMATCH(E94,""^\d{1},\d{2}$""),VALUE(E94),0),IF(REGEXMATCH(F94,""^\d{1},\d{2}$""),VALUE(F94),0),IF(REGEXMATCH(G94,""^\d{1},\d{2}$""),VALUE(G94),0))"),0)</f>
        <v>0</v>
      </c>
      <c r="I94" s="21"/>
      <c r="J94" s="22"/>
    </row>
    <row r="95" spans="1:10" ht="13.2" x14ac:dyDescent="0.25">
      <c r="A95" s="17"/>
      <c r="B95" s="28">
        <v>3</v>
      </c>
      <c r="C95" s="29"/>
      <c r="D95" s="30"/>
      <c r="E95" s="60"/>
      <c r="F95" s="60"/>
      <c r="G95" s="60"/>
      <c r="H95" s="61">
        <f ca="1">IFERROR(__xludf.DUMMYFUNCTION("MAX(IF(REGEXMATCH(E95,""^\d{1},\d{2}$""),VALUE(E95),0),IF(REGEXMATCH(F95,""^\d{1},\d{2}$""),VALUE(F95),0),IF(REGEXMATCH(G95,""^\d{1},\d{2}$""),VALUE(G95),0))"),0)</f>
        <v>0</v>
      </c>
      <c r="I95" s="21"/>
      <c r="J95" s="22"/>
    </row>
    <row r="96" spans="1:10" ht="13.2" x14ac:dyDescent="0.25">
      <c r="A96" s="17"/>
      <c r="B96" s="28">
        <v>4</v>
      </c>
      <c r="C96" s="29"/>
      <c r="D96" s="30"/>
      <c r="E96" s="60"/>
      <c r="F96" s="60"/>
      <c r="G96" s="60"/>
      <c r="H96" s="61">
        <f ca="1">IFERROR(__xludf.DUMMYFUNCTION("MAX(IF(REGEXMATCH(E96,""^\d{1},\d{2}$""),VALUE(E96),0),IF(REGEXMATCH(F96,""^\d{1},\d{2}$""),VALUE(F96),0),IF(REGEXMATCH(G96,""^\d{1},\d{2}$""),VALUE(G96),0))"),0)</f>
        <v>0</v>
      </c>
      <c r="I96" s="21"/>
      <c r="J96" s="22"/>
    </row>
    <row r="97" spans="1:10" ht="13.2" x14ac:dyDescent="0.25">
      <c r="A97" s="17"/>
      <c r="B97" s="28">
        <v>5</v>
      </c>
      <c r="C97" s="29"/>
      <c r="D97" s="30"/>
      <c r="E97" s="60"/>
      <c r="F97" s="60"/>
      <c r="G97" s="60"/>
      <c r="H97" s="61">
        <f ca="1">IFERROR(__xludf.DUMMYFUNCTION("MAX(IF(REGEXMATCH(E97,""^\d{1},\d{2}$""),VALUE(E97),0),IF(REGEXMATCH(F97,""^\d{1},\d{2}$""),VALUE(F97),0),IF(REGEXMATCH(G97,""^\d{1},\d{2}$""),VALUE(G97),0))"),0)</f>
        <v>0</v>
      </c>
      <c r="I97" s="21"/>
      <c r="J97" s="22"/>
    </row>
    <row r="98" spans="1:10" ht="13.2" x14ac:dyDescent="0.25">
      <c r="A98" s="17"/>
      <c r="B98" s="62" t="s">
        <v>18</v>
      </c>
      <c r="C98" s="36"/>
      <c r="D98" s="44"/>
      <c r="E98" s="38"/>
      <c r="F98" s="38"/>
      <c r="G98" s="38"/>
      <c r="H98" s="63"/>
      <c r="I98" s="21"/>
      <c r="J98" s="22"/>
    </row>
    <row r="99" spans="1:10" ht="13.2" x14ac:dyDescent="0.25">
      <c r="A99" s="17"/>
      <c r="B99" s="17"/>
      <c r="D99" s="18"/>
      <c r="E99" s="18"/>
      <c r="F99" s="18"/>
      <c r="G99" s="18"/>
      <c r="H99" s="58"/>
      <c r="I99" s="21"/>
      <c r="J99" s="22"/>
    </row>
    <row r="100" spans="1:10" ht="15.6" x14ac:dyDescent="0.25">
      <c r="A100" s="23">
        <v>13</v>
      </c>
      <c r="B100" s="97"/>
      <c r="C100" s="98"/>
      <c r="D100" s="98"/>
      <c r="E100" s="98"/>
      <c r="F100" s="98"/>
      <c r="G100" s="98"/>
      <c r="H100" s="59"/>
      <c r="I100" s="25">
        <f ca="1">IF(COUNTIFS(H101:H105,"&gt;0") &gt; 3, FLOOR((SUM(H101:H105)-MIN(H101,H102,H103,H104,H105))/4,0.0001), )</f>
        <v>0</v>
      </c>
      <c r="J100" s="26" t="str">
        <f ca="1">IF(I100=0,"",RANK(I100,$I$4:$I$224,))</f>
        <v/>
      </c>
    </row>
    <row r="101" spans="1:10" ht="13.2" x14ac:dyDescent="0.25">
      <c r="A101" s="17"/>
      <c r="B101" s="28">
        <v>1</v>
      </c>
      <c r="C101" s="29"/>
      <c r="D101" s="30"/>
      <c r="E101" s="60"/>
      <c r="F101" s="60"/>
      <c r="G101" s="60"/>
      <c r="H101" s="61">
        <f ca="1">IFERROR(__xludf.DUMMYFUNCTION("MAX(IF(REGEXMATCH(E101,""^\d{1},\d{2}$""),VALUE(E101),0),IF(REGEXMATCH(F101,""^\d{1},\d{2}$""),VALUE(F101),0),IF(REGEXMATCH(G101,""^\d{1},\d{2}$""),VALUE(G101),0))"),0)</f>
        <v>0</v>
      </c>
      <c r="I101" s="21"/>
      <c r="J101" s="22"/>
    </row>
    <row r="102" spans="1:10" ht="13.2" x14ac:dyDescent="0.25">
      <c r="A102" s="17"/>
      <c r="B102" s="28">
        <v>2</v>
      </c>
      <c r="C102" s="29"/>
      <c r="D102" s="30"/>
      <c r="E102" s="60"/>
      <c r="F102" s="60"/>
      <c r="G102" s="60"/>
      <c r="H102" s="61">
        <f ca="1">IFERROR(__xludf.DUMMYFUNCTION("MAX(IF(REGEXMATCH(E102,""^\d{1},\d{2}$""),VALUE(E102),0),IF(REGEXMATCH(F102,""^\d{1},\d{2}$""),VALUE(F102),0),IF(REGEXMATCH(G102,""^\d{1},\d{2}$""),VALUE(G102),0))"),0)</f>
        <v>0</v>
      </c>
      <c r="I102" s="21"/>
      <c r="J102" s="22"/>
    </row>
    <row r="103" spans="1:10" ht="13.2" x14ac:dyDescent="0.25">
      <c r="A103" s="17"/>
      <c r="B103" s="28">
        <v>3</v>
      </c>
      <c r="C103" s="29"/>
      <c r="D103" s="30"/>
      <c r="E103" s="60"/>
      <c r="F103" s="60"/>
      <c r="G103" s="60"/>
      <c r="H103" s="61">
        <f ca="1">IFERROR(__xludf.DUMMYFUNCTION("MAX(IF(REGEXMATCH(E103,""^\d{1},\d{2}$""),VALUE(E103),0),IF(REGEXMATCH(F103,""^\d{1},\d{2}$""),VALUE(F103),0),IF(REGEXMATCH(G103,""^\d{1},\d{2}$""),VALUE(G103),0))"),0)</f>
        <v>0</v>
      </c>
      <c r="I103" s="21"/>
      <c r="J103" s="22"/>
    </row>
    <row r="104" spans="1:10" ht="13.2" x14ac:dyDescent="0.25">
      <c r="A104" s="17"/>
      <c r="B104" s="28">
        <v>4</v>
      </c>
      <c r="C104" s="29"/>
      <c r="D104" s="30"/>
      <c r="E104" s="60"/>
      <c r="F104" s="60"/>
      <c r="G104" s="60"/>
      <c r="H104" s="61">
        <f ca="1">IFERROR(__xludf.DUMMYFUNCTION("MAX(IF(REGEXMATCH(E104,""^\d{1},\d{2}$""),VALUE(E104),0),IF(REGEXMATCH(F104,""^\d{1},\d{2}$""),VALUE(F104),0),IF(REGEXMATCH(G104,""^\d{1},\d{2}$""),VALUE(G104),0))"),0)</f>
        <v>0</v>
      </c>
      <c r="I104" s="21"/>
      <c r="J104" s="22"/>
    </row>
    <row r="105" spans="1:10" ht="13.2" x14ac:dyDescent="0.25">
      <c r="A105" s="17"/>
      <c r="B105" s="28">
        <v>5</v>
      </c>
      <c r="C105" s="29"/>
      <c r="D105" s="30"/>
      <c r="E105" s="60"/>
      <c r="F105" s="60"/>
      <c r="G105" s="60"/>
      <c r="H105" s="61">
        <f ca="1">IFERROR(__xludf.DUMMYFUNCTION("MAX(IF(REGEXMATCH(E105,""^\d{1},\d{2}$""),VALUE(E105),0),IF(REGEXMATCH(F105,""^\d{1},\d{2}$""),VALUE(F105),0),IF(REGEXMATCH(G105,""^\d{1},\d{2}$""),VALUE(G105),0))"),0)</f>
        <v>0</v>
      </c>
      <c r="I105" s="21"/>
      <c r="J105" s="22"/>
    </row>
    <row r="106" spans="1:10" ht="13.2" x14ac:dyDescent="0.25">
      <c r="A106" s="17"/>
      <c r="B106" s="17"/>
      <c r="D106" s="18"/>
      <c r="E106" s="18"/>
      <c r="F106" s="18"/>
      <c r="G106" s="18"/>
      <c r="H106" s="58"/>
      <c r="I106" s="21"/>
      <c r="J106" s="22"/>
    </row>
    <row r="107" spans="1:10" ht="13.2" x14ac:dyDescent="0.25">
      <c r="A107" s="17"/>
      <c r="B107" s="17"/>
      <c r="D107" s="18"/>
      <c r="E107" s="18"/>
      <c r="F107" s="18"/>
      <c r="G107" s="18"/>
      <c r="H107" s="58"/>
      <c r="I107" s="21"/>
      <c r="J107" s="22"/>
    </row>
    <row r="108" spans="1:10" ht="15.6" x14ac:dyDescent="0.25">
      <c r="A108" s="23">
        <v>14</v>
      </c>
      <c r="B108" s="97"/>
      <c r="C108" s="98"/>
      <c r="D108" s="98"/>
      <c r="E108" s="98"/>
      <c r="F108" s="98"/>
      <c r="G108" s="98"/>
      <c r="H108" s="59"/>
      <c r="I108" s="25">
        <f ca="1">IF(COUNTIFS(H109:H113,"&gt;0") &gt; 3, FLOOR((SUM(H109:H113)-MIN(H109,H110,H111,H112,H113))/4,0.0001), )</f>
        <v>0</v>
      </c>
      <c r="J108" s="26" t="str">
        <f ca="1">IF(I108=0,"",RANK(I108,$I$4:$I$224,))</f>
        <v/>
      </c>
    </row>
    <row r="109" spans="1:10" ht="13.2" x14ac:dyDescent="0.25">
      <c r="A109" s="17"/>
      <c r="B109" s="28">
        <v>1</v>
      </c>
      <c r="C109" s="29"/>
      <c r="D109" s="30"/>
      <c r="E109" s="60"/>
      <c r="F109" s="60"/>
      <c r="G109" s="60"/>
      <c r="H109" s="61">
        <f ca="1">IFERROR(__xludf.DUMMYFUNCTION("MAX(IF(REGEXMATCH(E109,""^\d{1},\d{2}$""),VALUE(E109),0),IF(REGEXMATCH(F109,""^\d{1},\d{2}$""),VALUE(F109),0),IF(REGEXMATCH(G109,""^\d{1},\d{2}$""),VALUE(G109),0))"),0)</f>
        <v>0</v>
      </c>
      <c r="I109" s="21"/>
      <c r="J109" s="22"/>
    </row>
    <row r="110" spans="1:10" ht="13.2" x14ac:dyDescent="0.25">
      <c r="A110" s="17"/>
      <c r="B110" s="28">
        <v>2</v>
      </c>
      <c r="C110" s="29"/>
      <c r="D110" s="30"/>
      <c r="E110" s="60"/>
      <c r="F110" s="60"/>
      <c r="G110" s="60"/>
      <c r="H110" s="61">
        <f ca="1">IFERROR(__xludf.DUMMYFUNCTION("MAX(IF(REGEXMATCH(E110,""^\d{1},\d{2}$""),VALUE(E110),0),IF(REGEXMATCH(F110,""^\d{1},\d{2}$""),VALUE(F110),0),IF(REGEXMATCH(G110,""^\d{1},\d{2}$""),VALUE(G110),0))"),0)</f>
        <v>0</v>
      </c>
      <c r="I110" s="21"/>
      <c r="J110" s="22"/>
    </row>
    <row r="111" spans="1:10" ht="13.2" x14ac:dyDescent="0.25">
      <c r="A111" s="17"/>
      <c r="B111" s="28">
        <v>3</v>
      </c>
      <c r="C111" s="29"/>
      <c r="D111" s="30"/>
      <c r="E111" s="60"/>
      <c r="F111" s="60"/>
      <c r="G111" s="60"/>
      <c r="H111" s="61">
        <f ca="1">IFERROR(__xludf.DUMMYFUNCTION("MAX(IF(REGEXMATCH(E111,""^\d{1},\d{2}$""),VALUE(E111),0),IF(REGEXMATCH(F111,""^\d{1},\d{2}$""),VALUE(F111),0),IF(REGEXMATCH(G111,""^\d{1},\d{2}$""),VALUE(G111),0))"),0)</f>
        <v>0</v>
      </c>
      <c r="I111" s="21"/>
      <c r="J111" s="22"/>
    </row>
    <row r="112" spans="1:10" ht="13.2" x14ac:dyDescent="0.25">
      <c r="A112" s="17"/>
      <c r="B112" s="28">
        <v>4</v>
      </c>
      <c r="C112" s="29"/>
      <c r="D112" s="30"/>
      <c r="E112" s="60"/>
      <c r="F112" s="60"/>
      <c r="G112" s="60"/>
      <c r="H112" s="61">
        <f ca="1">IFERROR(__xludf.DUMMYFUNCTION("MAX(IF(REGEXMATCH(E112,""^\d{1},\d{2}$""),VALUE(E112),0),IF(REGEXMATCH(F112,""^\d{1},\d{2}$""),VALUE(F112),0),IF(REGEXMATCH(G112,""^\d{1},\d{2}$""),VALUE(G112),0))"),0)</f>
        <v>0</v>
      </c>
      <c r="I112" s="21"/>
      <c r="J112" s="22"/>
    </row>
    <row r="113" spans="1:10" ht="13.2" x14ac:dyDescent="0.25">
      <c r="A113" s="17"/>
      <c r="B113" s="28">
        <v>5</v>
      </c>
      <c r="C113" s="29"/>
      <c r="D113" s="30"/>
      <c r="E113" s="60"/>
      <c r="F113" s="60"/>
      <c r="G113" s="60"/>
      <c r="H113" s="61">
        <f ca="1">IFERROR(__xludf.DUMMYFUNCTION("MAX(IF(REGEXMATCH(E113,""^\d{1},\d{2}$""),VALUE(E113),0),IF(REGEXMATCH(F113,""^\d{1},\d{2}$""),VALUE(F113),0),IF(REGEXMATCH(G113,""^\d{1},\d{2}$""),VALUE(G113),0))"),0)</f>
        <v>0</v>
      </c>
      <c r="I113" s="21"/>
      <c r="J113" s="22"/>
    </row>
    <row r="114" spans="1:10" ht="13.2" x14ac:dyDescent="0.25">
      <c r="A114" s="17"/>
      <c r="B114" s="62" t="s">
        <v>18</v>
      </c>
      <c r="C114" s="36"/>
      <c r="D114" s="44"/>
      <c r="E114" s="38"/>
      <c r="F114" s="38"/>
      <c r="G114" s="38"/>
      <c r="H114" s="63"/>
      <c r="I114" s="21"/>
      <c r="J114" s="22"/>
    </row>
    <row r="115" spans="1:10" ht="13.2" x14ac:dyDescent="0.25">
      <c r="A115" s="17"/>
      <c r="B115" s="17"/>
      <c r="D115" s="18"/>
      <c r="E115" s="18"/>
      <c r="F115" s="18"/>
      <c r="G115" s="18"/>
      <c r="H115" s="58"/>
      <c r="I115" s="21"/>
      <c r="J115" s="22"/>
    </row>
    <row r="116" spans="1:10" ht="15.6" x14ac:dyDescent="0.25">
      <c r="A116" s="23">
        <v>15</v>
      </c>
      <c r="B116" s="97"/>
      <c r="C116" s="98"/>
      <c r="D116" s="98"/>
      <c r="E116" s="98"/>
      <c r="F116" s="98"/>
      <c r="G116" s="98"/>
      <c r="H116" s="59"/>
      <c r="I116" s="25">
        <f ca="1">IF(COUNTIFS(H117:H121,"&gt;0") &gt; 3, FLOOR((SUM(H117:H121)-MIN(H117,H118,H119,H120,H121))/4,0.0001), )</f>
        <v>0</v>
      </c>
      <c r="J116" s="26" t="str">
        <f ca="1">IF(I116=0,"",RANK(I116,$I$4:$I$224,))</f>
        <v/>
      </c>
    </row>
    <row r="117" spans="1:10" ht="13.2" x14ac:dyDescent="0.25">
      <c r="A117" s="17"/>
      <c r="B117" s="28">
        <v>1</v>
      </c>
      <c r="C117" s="29"/>
      <c r="D117" s="30"/>
      <c r="E117" s="60"/>
      <c r="F117" s="60"/>
      <c r="G117" s="60"/>
      <c r="H117" s="61">
        <f ca="1">IFERROR(__xludf.DUMMYFUNCTION("MAX(IF(REGEXMATCH(E117,""^\d{1},\d{2}$""),VALUE(E117),0),IF(REGEXMATCH(F117,""^\d{1},\d{2}$""),VALUE(F117),0),IF(REGEXMATCH(G117,""^\d{1},\d{2}$""),VALUE(G117),0))"),0)</f>
        <v>0</v>
      </c>
      <c r="I117" s="21"/>
      <c r="J117" s="22"/>
    </row>
    <row r="118" spans="1:10" ht="13.2" x14ac:dyDescent="0.25">
      <c r="A118" s="17"/>
      <c r="B118" s="28">
        <v>2</v>
      </c>
      <c r="C118" s="29"/>
      <c r="D118" s="30"/>
      <c r="E118" s="60"/>
      <c r="F118" s="60"/>
      <c r="G118" s="60"/>
      <c r="H118" s="61">
        <f ca="1">IFERROR(__xludf.DUMMYFUNCTION("MAX(IF(REGEXMATCH(E118,""^\d{1},\d{2}$""),VALUE(E118),0),IF(REGEXMATCH(F118,""^\d{1},\d{2}$""),VALUE(F118),0),IF(REGEXMATCH(G118,""^\d{1},\d{2}$""),VALUE(G118),0))"),0)</f>
        <v>0</v>
      </c>
      <c r="I118" s="21"/>
      <c r="J118" s="22"/>
    </row>
    <row r="119" spans="1:10" ht="13.2" x14ac:dyDescent="0.25">
      <c r="A119" s="17"/>
      <c r="B119" s="28">
        <v>3</v>
      </c>
      <c r="C119" s="29"/>
      <c r="D119" s="30"/>
      <c r="E119" s="60"/>
      <c r="F119" s="60"/>
      <c r="G119" s="60"/>
      <c r="H119" s="61">
        <f ca="1">IFERROR(__xludf.DUMMYFUNCTION("MAX(IF(REGEXMATCH(E119,""^\d{1},\d{2}$""),VALUE(E119),0),IF(REGEXMATCH(F119,""^\d{1},\d{2}$""),VALUE(F119),0),IF(REGEXMATCH(G119,""^\d{1},\d{2}$""),VALUE(G119),0))"),0)</f>
        <v>0</v>
      </c>
      <c r="I119" s="21"/>
      <c r="J119" s="22"/>
    </row>
    <row r="120" spans="1:10" ht="13.2" x14ac:dyDescent="0.25">
      <c r="A120" s="17"/>
      <c r="B120" s="28">
        <v>4</v>
      </c>
      <c r="C120" s="29"/>
      <c r="D120" s="30"/>
      <c r="E120" s="60"/>
      <c r="F120" s="60"/>
      <c r="G120" s="60"/>
      <c r="H120" s="61">
        <f ca="1">IFERROR(__xludf.DUMMYFUNCTION("MAX(IF(REGEXMATCH(E120,""^\d{1},\d{2}$""),VALUE(E120),0),IF(REGEXMATCH(F120,""^\d{1},\d{2}$""),VALUE(F120),0),IF(REGEXMATCH(G120,""^\d{1},\d{2}$""),VALUE(G120),0))"),0)</f>
        <v>0</v>
      </c>
      <c r="I120" s="21"/>
      <c r="J120" s="22"/>
    </row>
    <row r="121" spans="1:10" ht="13.2" x14ac:dyDescent="0.25">
      <c r="A121" s="17"/>
      <c r="B121" s="28">
        <v>5</v>
      </c>
      <c r="C121" s="29"/>
      <c r="D121" s="30"/>
      <c r="E121" s="60"/>
      <c r="F121" s="60"/>
      <c r="G121" s="60"/>
      <c r="H121" s="61">
        <f ca="1">IFERROR(__xludf.DUMMYFUNCTION("MAX(IF(REGEXMATCH(E121,""^\d{1},\d{2}$""),VALUE(E121),0),IF(REGEXMATCH(F121,""^\d{1},\d{2}$""),VALUE(F121),0),IF(REGEXMATCH(G121,""^\d{1},\d{2}$""),VALUE(G121),0))"),0)</f>
        <v>0</v>
      </c>
      <c r="I121" s="21"/>
      <c r="J121" s="22"/>
    </row>
    <row r="122" spans="1:10" ht="13.2" x14ac:dyDescent="0.25">
      <c r="A122" s="17"/>
      <c r="B122" s="62" t="s">
        <v>18</v>
      </c>
      <c r="C122" s="36"/>
      <c r="D122" s="44"/>
      <c r="E122" s="38"/>
      <c r="F122" s="38"/>
      <c r="G122" s="38"/>
      <c r="H122" s="63"/>
      <c r="I122" s="21"/>
      <c r="J122" s="22"/>
    </row>
    <row r="123" spans="1:10" ht="13.2" x14ac:dyDescent="0.25">
      <c r="A123" s="17"/>
      <c r="B123" s="17"/>
      <c r="D123" s="18"/>
      <c r="E123" s="18"/>
      <c r="F123" s="18"/>
      <c r="G123" s="18"/>
      <c r="H123" s="58"/>
      <c r="I123" s="21"/>
      <c r="J123" s="22"/>
    </row>
    <row r="124" spans="1:10" ht="15.6" x14ac:dyDescent="0.25">
      <c r="A124" s="23">
        <v>16</v>
      </c>
      <c r="B124" s="97"/>
      <c r="C124" s="98"/>
      <c r="D124" s="98"/>
      <c r="E124" s="98"/>
      <c r="F124" s="98"/>
      <c r="G124" s="98"/>
      <c r="H124" s="59"/>
      <c r="I124" s="25">
        <f ca="1">IF(COUNTIFS(H125:H129,"&gt;0") &gt; 3, FLOOR((SUM(H125:H129)-MIN(H125,H126,H127,H128,H129))/4,0.0001), )</f>
        <v>0</v>
      </c>
      <c r="J124" s="26" t="str">
        <f ca="1">IF(I124=0,"",RANK(I124,$I$4:$I$224,))</f>
        <v/>
      </c>
    </row>
    <row r="125" spans="1:10" ht="13.2" x14ac:dyDescent="0.25">
      <c r="A125" s="17"/>
      <c r="B125" s="28">
        <v>1</v>
      </c>
      <c r="C125" s="29"/>
      <c r="D125" s="30"/>
      <c r="E125" s="60"/>
      <c r="F125" s="60"/>
      <c r="G125" s="60"/>
      <c r="H125" s="61">
        <f ca="1">IFERROR(__xludf.DUMMYFUNCTION("MAX(IF(REGEXMATCH(E125,""^\d{1},\d{2}$""),VALUE(E125),0),IF(REGEXMATCH(F125,""^\d{1},\d{2}$""),VALUE(F125),0),IF(REGEXMATCH(G125,""^\d{1},\d{2}$""),VALUE(G125),0))"),0)</f>
        <v>0</v>
      </c>
      <c r="I125" s="21"/>
      <c r="J125" s="22"/>
    </row>
    <row r="126" spans="1:10" ht="13.2" x14ac:dyDescent="0.25">
      <c r="A126" s="17"/>
      <c r="B126" s="28">
        <v>2</v>
      </c>
      <c r="C126" s="29"/>
      <c r="D126" s="30"/>
      <c r="E126" s="60"/>
      <c r="F126" s="60"/>
      <c r="G126" s="60"/>
      <c r="H126" s="61">
        <f ca="1">IFERROR(__xludf.DUMMYFUNCTION("MAX(IF(REGEXMATCH(E126,""^\d{1},\d{2}$""),VALUE(E126),0),IF(REGEXMATCH(F126,""^\d{1},\d{2}$""),VALUE(F126),0),IF(REGEXMATCH(G126,""^\d{1},\d{2}$""),VALUE(G126),0))"),0)</f>
        <v>0</v>
      </c>
      <c r="I126" s="21"/>
      <c r="J126" s="22"/>
    </row>
    <row r="127" spans="1:10" ht="13.2" x14ac:dyDescent="0.25">
      <c r="A127" s="17"/>
      <c r="B127" s="28">
        <v>3</v>
      </c>
      <c r="C127" s="29"/>
      <c r="D127" s="30"/>
      <c r="E127" s="60"/>
      <c r="F127" s="60"/>
      <c r="G127" s="60"/>
      <c r="H127" s="61">
        <f ca="1">IFERROR(__xludf.DUMMYFUNCTION("MAX(IF(REGEXMATCH(E127,""^\d{1},\d{2}$""),VALUE(E127),0),IF(REGEXMATCH(F127,""^\d{1},\d{2}$""),VALUE(F127),0),IF(REGEXMATCH(G127,""^\d{1},\d{2}$""),VALUE(G127),0))"),0)</f>
        <v>0</v>
      </c>
      <c r="I127" s="21"/>
      <c r="J127" s="22"/>
    </row>
    <row r="128" spans="1:10" ht="13.2" x14ac:dyDescent="0.25">
      <c r="A128" s="17"/>
      <c r="B128" s="28">
        <v>4</v>
      </c>
      <c r="C128" s="29"/>
      <c r="D128" s="30"/>
      <c r="E128" s="60"/>
      <c r="F128" s="60"/>
      <c r="G128" s="60"/>
      <c r="H128" s="61">
        <f ca="1">IFERROR(__xludf.DUMMYFUNCTION("MAX(IF(REGEXMATCH(E128,""^\d{1},\d{2}$""),VALUE(E128),0),IF(REGEXMATCH(F128,""^\d{1},\d{2}$""),VALUE(F128),0),IF(REGEXMATCH(G128,""^\d{1},\d{2}$""),VALUE(G128),0))"),0)</f>
        <v>0</v>
      </c>
      <c r="I128" s="21"/>
      <c r="J128" s="22"/>
    </row>
    <row r="129" spans="1:10" ht="13.2" x14ac:dyDescent="0.25">
      <c r="A129" s="17"/>
      <c r="B129" s="28">
        <v>5</v>
      </c>
      <c r="C129" s="29"/>
      <c r="D129" s="30"/>
      <c r="E129" s="60"/>
      <c r="F129" s="60"/>
      <c r="G129" s="60"/>
      <c r="H129" s="61">
        <f ca="1">IFERROR(__xludf.DUMMYFUNCTION("MAX(IF(REGEXMATCH(E129,""^\d{1},\d{2}$""),VALUE(E129),0),IF(REGEXMATCH(F129,""^\d{1},\d{2}$""),VALUE(F129),0),IF(REGEXMATCH(G129,""^\d{1},\d{2}$""),VALUE(G129),0))"),0)</f>
        <v>0</v>
      </c>
      <c r="I129" s="21"/>
      <c r="J129" s="22"/>
    </row>
    <row r="130" spans="1:10" ht="13.2" x14ac:dyDescent="0.25">
      <c r="A130" s="17"/>
      <c r="B130" s="62" t="s">
        <v>18</v>
      </c>
      <c r="C130" s="36"/>
      <c r="D130" s="44"/>
      <c r="E130" s="38"/>
      <c r="F130" s="38"/>
      <c r="G130" s="38"/>
      <c r="H130" s="63"/>
      <c r="I130" s="21"/>
      <c r="J130" s="22"/>
    </row>
    <row r="131" spans="1:10" ht="13.2" x14ac:dyDescent="0.25">
      <c r="A131" s="17"/>
      <c r="B131" s="17"/>
      <c r="D131" s="18"/>
      <c r="E131" s="18"/>
      <c r="F131" s="18"/>
      <c r="G131" s="18"/>
      <c r="H131" s="58"/>
      <c r="I131" s="21"/>
      <c r="J131" s="22"/>
    </row>
    <row r="132" spans="1:10" ht="15.6" x14ac:dyDescent="0.25">
      <c r="A132" s="23">
        <v>17</v>
      </c>
      <c r="B132" s="97"/>
      <c r="C132" s="98"/>
      <c r="D132" s="98"/>
      <c r="E132" s="98"/>
      <c r="F132" s="98"/>
      <c r="G132" s="98"/>
      <c r="H132" s="59"/>
      <c r="I132" s="25">
        <f ca="1">IF(COUNTIFS(H133:H137,"&gt;0") &gt; 3, FLOOR((SUM(H133:H137)-MIN(H133,H134,H135,H136,H137))/4,0.0001), )</f>
        <v>0</v>
      </c>
      <c r="J132" s="26" t="str">
        <f ca="1">IF(I132=0,"",RANK(I132,$I$4:$I$224,))</f>
        <v/>
      </c>
    </row>
    <row r="133" spans="1:10" ht="13.2" x14ac:dyDescent="0.25">
      <c r="A133" s="17"/>
      <c r="B133" s="28">
        <v>1</v>
      </c>
      <c r="C133" s="29"/>
      <c r="D133" s="30"/>
      <c r="E133" s="60"/>
      <c r="F133" s="60"/>
      <c r="G133" s="60"/>
      <c r="H133" s="61">
        <f ca="1">IFERROR(__xludf.DUMMYFUNCTION("MAX(IF(REGEXMATCH(E133,""^\d{1},\d{2}$""),VALUE(E133),0),IF(REGEXMATCH(F133,""^\d{1},\d{2}$""),VALUE(F133),0),IF(REGEXMATCH(G133,""^\d{1},\d{2}$""),VALUE(G133),0))"),0)</f>
        <v>0</v>
      </c>
      <c r="I133" s="21"/>
      <c r="J133" s="22"/>
    </row>
    <row r="134" spans="1:10" ht="13.2" x14ac:dyDescent="0.25">
      <c r="A134" s="17"/>
      <c r="B134" s="28">
        <v>2</v>
      </c>
      <c r="C134" s="29"/>
      <c r="D134" s="30"/>
      <c r="E134" s="60"/>
      <c r="F134" s="60"/>
      <c r="G134" s="60"/>
      <c r="H134" s="61">
        <f ca="1">IFERROR(__xludf.DUMMYFUNCTION("MAX(IF(REGEXMATCH(E134,""^\d{1},\d{2}$""),VALUE(E134),0),IF(REGEXMATCH(F134,""^\d{1},\d{2}$""),VALUE(F134),0),IF(REGEXMATCH(G134,""^\d{1},\d{2}$""),VALUE(G134),0))"),0)</f>
        <v>0</v>
      </c>
      <c r="I134" s="21"/>
      <c r="J134" s="22"/>
    </row>
    <row r="135" spans="1:10" ht="13.2" x14ac:dyDescent="0.25">
      <c r="A135" s="17"/>
      <c r="B135" s="28">
        <v>3</v>
      </c>
      <c r="C135" s="29"/>
      <c r="D135" s="30"/>
      <c r="E135" s="60"/>
      <c r="F135" s="60"/>
      <c r="G135" s="60"/>
      <c r="H135" s="61">
        <f ca="1">IFERROR(__xludf.DUMMYFUNCTION("MAX(IF(REGEXMATCH(E135,""^\d{1},\d{2}$""),VALUE(E135),0),IF(REGEXMATCH(F135,""^\d{1},\d{2}$""),VALUE(F135),0),IF(REGEXMATCH(G135,""^\d{1},\d{2}$""),VALUE(G135),0))"),0)</f>
        <v>0</v>
      </c>
      <c r="I135" s="21"/>
      <c r="J135" s="22"/>
    </row>
    <row r="136" spans="1:10" ht="13.2" x14ac:dyDescent="0.25">
      <c r="A136" s="17"/>
      <c r="B136" s="28">
        <v>4</v>
      </c>
      <c r="C136" s="29"/>
      <c r="D136" s="30"/>
      <c r="E136" s="60"/>
      <c r="F136" s="60"/>
      <c r="G136" s="60"/>
      <c r="H136" s="61">
        <f ca="1">IFERROR(__xludf.DUMMYFUNCTION("MAX(IF(REGEXMATCH(E136,""^\d{1},\d{2}$""),VALUE(E136),0),IF(REGEXMATCH(F136,""^\d{1},\d{2}$""),VALUE(F136),0),IF(REGEXMATCH(G136,""^\d{1},\d{2}$""),VALUE(G136),0))"),0)</f>
        <v>0</v>
      </c>
      <c r="I136" s="21"/>
      <c r="J136" s="22"/>
    </row>
    <row r="137" spans="1:10" ht="13.2" x14ac:dyDescent="0.25">
      <c r="A137" s="17"/>
      <c r="B137" s="28">
        <v>5</v>
      </c>
      <c r="C137" s="29"/>
      <c r="D137" s="30"/>
      <c r="E137" s="60"/>
      <c r="F137" s="60"/>
      <c r="G137" s="60"/>
      <c r="H137" s="61">
        <f ca="1">IFERROR(__xludf.DUMMYFUNCTION("MAX(IF(REGEXMATCH(E137,""^\d{1},\d{2}$""),VALUE(E137),0),IF(REGEXMATCH(F137,""^\d{1},\d{2}$""),VALUE(F137),0),IF(REGEXMATCH(G137,""^\d{1},\d{2}$""),VALUE(G137),0))"),0)</f>
        <v>0</v>
      </c>
      <c r="I137" s="21"/>
      <c r="J137" s="22"/>
    </row>
    <row r="138" spans="1:10" ht="13.2" x14ac:dyDescent="0.25">
      <c r="A138" s="17"/>
      <c r="B138" s="62" t="s">
        <v>18</v>
      </c>
      <c r="C138" s="36"/>
      <c r="D138" s="44"/>
      <c r="E138" s="38"/>
      <c r="F138" s="38"/>
      <c r="G138" s="38"/>
      <c r="H138" s="63"/>
      <c r="I138" s="21"/>
      <c r="J138" s="22"/>
    </row>
    <row r="139" spans="1:10" ht="13.2" x14ac:dyDescent="0.25">
      <c r="A139" s="17"/>
      <c r="B139" s="17"/>
      <c r="D139" s="18"/>
      <c r="E139" s="18"/>
      <c r="F139" s="18"/>
      <c r="G139" s="18"/>
      <c r="H139" s="58"/>
      <c r="I139" s="21"/>
      <c r="J139" s="22"/>
    </row>
    <row r="140" spans="1:10" ht="15.6" x14ac:dyDescent="0.25">
      <c r="A140" s="23">
        <v>18</v>
      </c>
      <c r="B140" s="97"/>
      <c r="C140" s="98"/>
      <c r="D140" s="98"/>
      <c r="E140" s="98"/>
      <c r="F140" s="98"/>
      <c r="G140" s="98"/>
      <c r="H140" s="59"/>
      <c r="I140" s="25">
        <f ca="1">IF(COUNTIFS(H141:H145,"&gt;0") &gt; 3, FLOOR((SUM(H141:H145)-MIN(H141,H142,H143,H144,H145))/4,0.0001), )</f>
        <v>0</v>
      </c>
      <c r="J140" s="26" t="str">
        <f ca="1">IF(I140=0,"",RANK(I140,$I$4:$I$224,))</f>
        <v/>
      </c>
    </row>
    <row r="141" spans="1:10" ht="13.2" x14ac:dyDescent="0.25">
      <c r="A141" s="17"/>
      <c r="B141" s="28">
        <v>1</v>
      </c>
      <c r="C141" s="29"/>
      <c r="D141" s="30"/>
      <c r="E141" s="60"/>
      <c r="F141" s="60"/>
      <c r="G141" s="60"/>
      <c r="H141" s="61">
        <f ca="1">IFERROR(__xludf.DUMMYFUNCTION("MAX(IF(REGEXMATCH(E141,""^\d{1},\d{2}$""),VALUE(E141),0),IF(REGEXMATCH(F141,""^\d{1},\d{2}$""),VALUE(F141),0),IF(REGEXMATCH(G141,""^\d{1},\d{2}$""),VALUE(G141),0))"),0)</f>
        <v>0</v>
      </c>
      <c r="I141" s="21"/>
      <c r="J141" s="22"/>
    </row>
    <row r="142" spans="1:10" ht="13.2" x14ac:dyDescent="0.25">
      <c r="A142" s="17"/>
      <c r="B142" s="28">
        <v>2</v>
      </c>
      <c r="C142" s="29"/>
      <c r="D142" s="30"/>
      <c r="E142" s="60"/>
      <c r="F142" s="60"/>
      <c r="G142" s="60"/>
      <c r="H142" s="61">
        <f ca="1">IFERROR(__xludf.DUMMYFUNCTION("MAX(IF(REGEXMATCH(E142,""^\d{1},\d{2}$""),VALUE(E142),0),IF(REGEXMATCH(F142,""^\d{1},\d{2}$""),VALUE(F142),0),IF(REGEXMATCH(G142,""^\d{1},\d{2}$""),VALUE(G142),0))"),0)</f>
        <v>0</v>
      </c>
      <c r="I142" s="21"/>
      <c r="J142" s="22"/>
    </row>
    <row r="143" spans="1:10" ht="13.2" x14ac:dyDescent="0.25">
      <c r="A143" s="17"/>
      <c r="B143" s="28">
        <v>3</v>
      </c>
      <c r="C143" s="29"/>
      <c r="D143" s="30"/>
      <c r="E143" s="60"/>
      <c r="F143" s="60"/>
      <c r="G143" s="60"/>
      <c r="H143" s="61">
        <f ca="1">IFERROR(__xludf.DUMMYFUNCTION("MAX(IF(REGEXMATCH(E143,""^\d{1},\d{2}$""),VALUE(E143),0),IF(REGEXMATCH(F143,""^\d{1},\d{2}$""),VALUE(F143),0),IF(REGEXMATCH(G143,""^\d{1},\d{2}$""),VALUE(G143),0))"),0)</f>
        <v>0</v>
      </c>
      <c r="I143" s="21"/>
      <c r="J143" s="22"/>
    </row>
    <row r="144" spans="1:10" ht="13.2" x14ac:dyDescent="0.25">
      <c r="A144" s="17"/>
      <c r="B144" s="28">
        <v>4</v>
      </c>
      <c r="C144" s="29"/>
      <c r="D144" s="30"/>
      <c r="E144" s="60"/>
      <c r="F144" s="60"/>
      <c r="G144" s="60"/>
      <c r="H144" s="61">
        <f ca="1">IFERROR(__xludf.DUMMYFUNCTION("MAX(IF(REGEXMATCH(E144,""^\d{1},\d{2}$""),VALUE(E144),0),IF(REGEXMATCH(F144,""^\d{1},\d{2}$""),VALUE(F144),0),IF(REGEXMATCH(G144,""^\d{1},\d{2}$""),VALUE(G144),0))"),0)</f>
        <v>0</v>
      </c>
      <c r="I144" s="21"/>
      <c r="J144" s="22"/>
    </row>
    <row r="145" spans="1:10" ht="13.2" x14ac:dyDescent="0.25">
      <c r="A145" s="17"/>
      <c r="B145" s="28">
        <v>5</v>
      </c>
      <c r="C145" s="29"/>
      <c r="D145" s="30"/>
      <c r="E145" s="60"/>
      <c r="F145" s="60"/>
      <c r="G145" s="60"/>
      <c r="H145" s="61">
        <f ca="1">IFERROR(__xludf.DUMMYFUNCTION("MAX(IF(REGEXMATCH(E145,""^\d{1},\d{2}$""),VALUE(E145),0),IF(REGEXMATCH(F145,""^\d{1},\d{2}$""),VALUE(F145),0),IF(REGEXMATCH(G145,""^\d{1},\d{2}$""),VALUE(G145),0))"),0)</f>
        <v>0</v>
      </c>
      <c r="I145" s="21"/>
      <c r="J145" s="22"/>
    </row>
    <row r="146" spans="1:10" ht="13.2" x14ac:dyDescent="0.25">
      <c r="A146" s="17"/>
      <c r="B146" s="62" t="s">
        <v>18</v>
      </c>
      <c r="C146" s="36"/>
      <c r="D146" s="44"/>
      <c r="E146" s="38"/>
      <c r="F146" s="38"/>
      <c r="G146" s="38"/>
      <c r="H146" s="63"/>
      <c r="I146" s="21"/>
      <c r="J146" s="22"/>
    </row>
    <row r="147" spans="1:10" ht="13.2" x14ac:dyDescent="0.25">
      <c r="A147" s="17"/>
      <c r="B147" s="17"/>
      <c r="D147" s="18"/>
      <c r="E147" s="18"/>
      <c r="F147" s="18"/>
      <c r="G147" s="18"/>
      <c r="H147" s="58"/>
      <c r="I147" s="21"/>
      <c r="J147" s="22"/>
    </row>
    <row r="148" spans="1:10" ht="15.6" x14ac:dyDescent="0.25">
      <c r="A148" s="23">
        <v>19</v>
      </c>
      <c r="B148" s="97"/>
      <c r="C148" s="98"/>
      <c r="D148" s="98"/>
      <c r="E148" s="98"/>
      <c r="F148" s="98"/>
      <c r="G148" s="98"/>
      <c r="H148" s="99"/>
      <c r="I148" s="25">
        <f ca="1">IF(COUNTIFS(H149:H153,"&gt;0") &gt; 3, FLOOR((SUM(H149:H153)-MIN(H149,H150,H151,H152,H153))/4,0.0001), )</f>
        <v>0</v>
      </c>
      <c r="J148" s="26" t="str">
        <f ca="1">IF(I148=0,"",RANK(I148,$I$4:$I$224,))</f>
        <v/>
      </c>
    </row>
    <row r="149" spans="1:10" ht="13.2" x14ac:dyDescent="0.25">
      <c r="A149" s="17"/>
      <c r="B149" s="28">
        <v>1</v>
      </c>
      <c r="C149" s="29"/>
      <c r="D149" s="30"/>
      <c r="E149" s="60"/>
      <c r="F149" s="60"/>
      <c r="G149" s="60"/>
      <c r="H149" s="61">
        <f ca="1">IFERROR(__xludf.DUMMYFUNCTION("MAX(IF(REGEXMATCH(E149,""^\d{1},\d{2}$""),VALUE(E149),0),IF(REGEXMATCH(F149,""^\d{1},\d{2}$""),VALUE(F149),0),IF(REGEXMATCH(G149,""^\d{1},\d{2}$""),VALUE(G149),0))"),0)</f>
        <v>0</v>
      </c>
      <c r="I149" s="21"/>
      <c r="J149" s="22"/>
    </row>
    <row r="150" spans="1:10" ht="13.2" x14ac:dyDescent="0.25">
      <c r="A150" s="17"/>
      <c r="B150" s="28">
        <v>2</v>
      </c>
      <c r="C150" s="29"/>
      <c r="D150" s="30"/>
      <c r="E150" s="60"/>
      <c r="F150" s="60"/>
      <c r="G150" s="60"/>
      <c r="H150" s="61">
        <f ca="1">IFERROR(__xludf.DUMMYFUNCTION("MAX(IF(REGEXMATCH(E150,""^\d{1},\d{2}$""),VALUE(E150),0),IF(REGEXMATCH(F150,""^\d{1},\d{2}$""),VALUE(F150),0),IF(REGEXMATCH(G150,""^\d{1},\d{2}$""),VALUE(G150),0))"),0)</f>
        <v>0</v>
      </c>
      <c r="I150" s="21"/>
      <c r="J150" s="22"/>
    </row>
    <row r="151" spans="1:10" ht="13.2" x14ac:dyDescent="0.25">
      <c r="A151" s="17"/>
      <c r="B151" s="28">
        <v>3</v>
      </c>
      <c r="C151" s="29"/>
      <c r="D151" s="30"/>
      <c r="E151" s="60"/>
      <c r="F151" s="60"/>
      <c r="G151" s="60"/>
      <c r="H151" s="61">
        <f ca="1">IFERROR(__xludf.DUMMYFUNCTION("MAX(IF(REGEXMATCH(E151,""^\d{1},\d{2}$""),VALUE(E151),0),IF(REGEXMATCH(F151,""^\d{1},\d{2}$""),VALUE(F151),0),IF(REGEXMATCH(G151,""^\d{1},\d{2}$""),VALUE(G151),0))"),0)</f>
        <v>0</v>
      </c>
      <c r="I151" s="21"/>
      <c r="J151" s="22"/>
    </row>
    <row r="152" spans="1:10" ht="13.2" x14ac:dyDescent="0.25">
      <c r="A152" s="17"/>
      <c r="B152" s="28">
        <v>4</v>
      </c>
      <c r="C152" s="29"/>
      <c r="D152" s="30"/>
      <c r="E152" s="60"/>
      <c r="F152" s="60"/>
      <c r="G152" s="60"/>
      <c r="H152" s="61">
        <f ca="1">IFERROR(__xludf.DUMMYFUNCTION("MAX(IF(REGEXMATCH(E152,""^\d{1},\d{2}$""),VALUE(E152),0),IF(REGEXMATCH(F152,""^\d{1},\d{2}$""),VALUE(F152),0),IF(REGEXMATCH(G152,""^\d{1},\d{2}$""),VALUE(G152),0))"),0)</f>
        <v>0</v>
      </c>
      <c r="I152" s="21"/>
      <c r="J152" s="22"/>
    </row>
    <row r="153" spans="1:10" ht="13.2" x14ac:dyDescent="0.25">
      <c r="A153" s="17"/>
      <c r="B153" s="28">
        <v>5</v>
      </c>
      <c r="C153" s="29"/>
      <c r="D153" s="30"/>
      <c r="E153" s="60"/>
      <c r="F153" s="60"/>
      <c r="G153" s="60"/>
      <c r="H153" s="61">
        <f ca="1">IFERROR(__xludf.DUMMYFUNCTION("MAX(IF(REGEXMATCH(E153,""^\d{1},\d{2}$""),VALUE(E153),0),IF(REGEXMATCH(F153,""^\d{1},\d{2}$""),VALUE(F153),0),IF(REGEXMATCH(G153,""^\d{1},\d{2}$""),VALUE(G153),0))"),0)</f>
        <v>0</v>
      </c>
      <c r="I153" s="21"/>
      <c r="J153" s="22"/>
    </row>
    <row r="154" spans="1:10" ht="13.2" x14ac:dyDescent="0.25">
      <c r="A154" s="17"/>
      <c r="B154" s="62" t="s">
        <v>18</v>
      </c>
      <c r="C154" s="36"/>
      <c r="D154" s="44"/>
      <c r="E154" s="38"/>
      <c r="F154" s="38"/>
      <c r="G154" s="38"/>
      <c r="H154" s="63"/>
      <c r="I154" s="21"/>
      <c r="J154" s="22"/>
    </row>
    <row r="155" spans="1:10" ht="13.2" x14ac:dyDescent="0.25">
      <c r="A155" s="17"/>
      <c r="B155" s="17"/>
      <c r="D155" s="18"/>
      <c r="E155" s="18"/>
      <c r="F155" s="18"/>
      <c r="G155" s="18"/>
      <c r="H155" s="58"/>
      <c r="I155" s="21"/>
      <c r="J155" s="22"/>
    </row>
    <row r="156" spans="1:10" ht="15.6" x14ac:dyDescent="0.25">
      <c r="A156" s="23">
        <v>20</v>
      </c>
      <c r="B156" s="97"/>
      <c r="C156" s="98"/>
      <c r="D156" s="98"/>
      <c r="E156" s="98"/>
      <c r="F156" s="98"/>
      <c r="G156" s="98"/>
      <c r="H156" s="59"/>
      <c r="I156" s="25">
        <f ca="1">IF(COUNTIFS(H157:H161,"&gt;0") &gt; 3, FLOOR((SUM(H157:H161)-MIN(H157,H158,H159,H160,H161))/4,0.0001), )</f>
        <v>0</v>
      </c>
      <c r="J156" s="26" t="str">
        <f ca="1">IF(I156=0,"",RANK(I156,$I$4:$I$224,))</f>
        <v/>
      </c>
    </row>
    <row r="157" spans="1:10" ht="13.2" x14ac:dyDescent="0.25">
      <c r="A157" s="17"/>
      <c r="B157" s="28">
        <v>1</v>
      </c>
      <c r="C157" s="29"/>
      <c r="D157" s="30"/>
      <c r="E157" s="60"/>
      <c r="F157" s="60"/>
      <c r="G157" s="60"/>
      <c r="H157" s="61">
        <f ca="1">IFERROR(__xludf.DUMMYFUNCTION("MAX(IF(REGEXMATCH(E157,""^\d{1},\d{2}$""),VALUE(E157),0),IF(REGEXMATCH(F157,""^\d{1},\d{2}$""),VALUE(F157),0),IF(REGEXMATCH(G157,""^\d{1},\d{2}$""),VALUE(G157),0))"),0)</f>
        <v>0</v>
      </c>
      <c r="I157" s="21"/>
      <c r="J157" s="22"/>
    </row>
    <row r="158" spans="1:10" ht="13.2" x14ac:dyDescent="0.25">
      <c r="A158" s="17"/>
      <c r="B158" s="28">
        <v>2</v>
      </c>
      <c r="C158" s="29"/>
      <c r="D158" s="30"/>
      <c r="E158" s="60"/>
      <c r="F158" s="60"/>
      <c r="G158" s="60"/>
      <c r="H158" s="61">
        <f ca="1">IFERROR(__xludf.DUMMYFUNCTION("MAX(IF(REGEXMATCH(E158,""^\d{1},\d{2}$""),VALUE(E158),0),IF(REGEXMATCH(F158,""^\d{1},\d{2}$""),VALUE(F158),0),IF(REGEXMATCH(G158,""^\d{1},\d{2}$""),VALUE(G158),0))"),0)</f>
        <v>0</v>
      </c>
      <c r="I158" s="21"/>
      <c r="J158" s="22"/>
    </row>
    <row r="159" spans="1:10" ht="13.2" x14ac:dyDescent="0.25">
      <c r="A159" s="17"/>
      <c r="B159" s="28">
        <v>3</v>
      </c>
      <c r="C159" s="29"/>
      <c r="D159" s="30"/>
      <c r="E159" s="60"/>
      <c r="F159" s="60"/>
      <c r="G159" s="60"/>
      <c r="H159" s="61">
        <f ca="1">IFERROR(__xludf.DUMMYFUNCTION("MAX(IF(REGEXMATCH(E159,""^\d{1},\d{2}$""),VALUE(E159),0),IF(REGEXMATCH(F159,""^\d{1},\d{2}$""),VALUE(F159),0),IF(REGEXMATCH(G159,""^\d{1},\d{2}$""),VALUE(G159),0))"),0)</f>
        <v>0</v>
      </c>
      <c r="I159" s="21"/>
      <c r="J159" s="22"/>
    </row>
    <row r="160" spans="1:10" ht="13.2" x14ac:dyDescent="0.25">
      <c r="A160" s="17"/>
      <c r="B160" s="28">
        <v>4</v>
      </c>
      <c r="C160" s="29"/>
      <c r="D160" s="30"/>
      <c r="E160" s="60"/>
      <c r="F160" s="60"/>
      <c r="G160" s="60"/>
      <c r="H160" s="61">
        <f ca="1">IFERROR(__xludf.DUMMYFUNCTION("MAX(IF(REGEXMATCH(E160,""^\d{1},\d{2}$""),VALUE(E160),0),IF(REGEXMATCH(F160,""^\d{1},\d{2}$""),VALUE(F160),0),IF(REGEXMATCH(G160,""^\d{1},\d{2}$""),VALUE(G160),0))"),0)</f>
        <v>0</v>
      </c>
      <c r="I160" s="21"/>
      <c r="J160" s="22"/>
    </row>
    <row r="161" spans="1:10" ht="13.2" x14ac:dyDescent="0.25">
      <c r="A161" s="17"/>
      <c r="B161" s="28">
        <v>5</v>
      </c>
      <c r="C161" s="29"/>
      <c r="D161" s="30"/>
      <c r="E161" s="60"/>
      <c r="F161" s="60"/>
      <c r="G161" s="60"/>
      <c r="H161" s="61">
        <f ca="1">IFERROR(__xludf.DUMMYFUNCTION("MAX(IF(REGEXMATCH(E161,""^\d{1},\d{2}$""),VALUE(E161),0),IF(REGEXMATCH(F161,""^\d{1},\d{2}$""),VALUE(F161),0),IF(REGEXMATCH(G161,""^\d{1},\d{2}$""),VALUE(G161),0))"),0)</f>
        <v>0</v>
      </c>
      <c r="I161" s="21"/>
      <c r="J161" s="22"/>
    </row>
    <row r="162" spans="1:10" ht="13.2" x14ac:dyDescent="0.25">
      <c r="A162" s="17"/>
      <c r="B162" s="62" t="s">
        <v>18</v>
      </c>
      <c r="C162" s="36"/>
      <c r="D162" s="44"/>
      <c r="E162" s="38"/>
      <c r="F162" s="38"/>
      <c r="G162" s="38"/>
      <c r="H162" s="63"/>
      <c r="I162" s="21"/>
      <c r="J162" s="22"/>
    </row>
    <row r="163" spans="1:10" ht="13.2" x14ac:dyDescent="0.25">
      <c r="A163" s="17"/>
      <c r="B163" s="17"/>
      <c r="D163" s="18"/>
      <c r="E163" s="18"/>
      <c r="F163" s="18"/>
      <c r="G163" s="18"/>
      <c r="H163" s="58"/>
      <c r="I163" s="21"/>
      <c r="J163" s="22"/>
    </row>
    <row r="164" spans="1:10" ht="15.6" x14ac:dyDescent="0.25">
      <c r="A164" s="23">
        <v>21</v>
      </c>
      <c r="B164" s="97"/>
      <c r="C164" s="98"/>
      <c r="D164" s="98"/>
      <c r="E164" s="98"/>
      <c r="F164" s="98"/>
      <c r="G164" s="98"/>
      <c r="H164" s="59"/>
      <c r="I164" s="25">
        <f ca="1">IF(COUNTIFS(H165:H169,"&gt;0") &gt; 3, FLOOR((SUM(H165:H169)-MIN(H165,H166,H167,H168,H169))/4,0.0001), )</f>
        <v>0</v>
      </c>
      <c r="J164" s="26" t="str">
        <f ca="1">IF(I164=0,"",RANK(I164,$I$4:$I$224,))</f>
        <v/>
      </c>
    </row>
    <row r="165" spans="1:10" ht="13.2" x14ac:dyDescent="0.25">
      <c r="A165" s="17"/>
      <c r="B165" s="28">
        <v>1</v>
      </c>
      <c r="C165" s="29"/>
      <c r="D165" s="30"/>
      <c r="E165" s="60"/>
      <c r="F165" s="60"/>
      <c r="G165" s="60"/>
      <c r="H165" s="61">
        <f ca="1">IFERROR(__xludf.DUMMYFUNCTION("MAX(IF(REGEXMATCH(E165,""^\d{1},\d{2}$""),VALUE(E165),0),IF(REGEXMATCH(F165,""^\d{1},\d{2}$""),VALUE(F165),0),IF(REGEXMATCH(G165,""^\d{1},\d{2}$""),VALUE(G165),0))"),0)</f>
        <v>0</v>
      </c>
      <c r="I165" s="21"/>
      <c r="J165" s="22"/>
    </row>
    <row r="166" spans="1:10" ht="13.2" x14ac:dyDescent="0.25">
      <c r="A166" s="17"/>
      <c r="B166" s="28">
        <v>2</v>
      </c>
      <c r="C166" s="29"/>
      <c r="D166" s="30"/>
      <c r="E166" s="60"/>
      <c r="F166" s="60"/>
      <c r="G166" s="60"/>
      <c r="H166" s="61">
        <f ca="1">IFERROR(__xludf.DUMMYFUNCTION("MAX(IF(REGEXMATCH(E166,""^\d{1},\d{2}$""),VALUE(E166),0),IF(REGEXMATCH(F166,""^\d{1},\d{2}$""),VALUE(F166),0),IF(REGEXMATCH(G166,""^\d{1},\d{2}$""),VALUE(G166),0))"),0)</f>
        <v>0</v>
      </c>
      <c r="I166" s="21"/>
      <c r="J166" s="22"/>
    </row>
    <row r="167" spans="1:10" ht="13.2" x14ac:dyDescent="0.25">
      <c r="A167" s="17"/>
      <c r="B167" s="28">
        <v>3</v>
      </c>
      <c r="C167" s="29"/>
      <c r="D167" s="30"/>
      <c r="E167" s="60"/>
      <c r="F167" s="60"/>
      <c r="G167" s="60"/>
      <c r="H167" s="61">
        <f ca="1">IFERROR(__xludf.DUMMYFUNCTION("MAX(IF(REGEXMATCH(E167,""^\d{1},\d{2}$""),VALUE(E167),0),IF(REGEXMATCH(F167,""^\d{1},\d{2}$""),VALUE(F167),0),IF(REGEXMATCH(G167,""^\d{1},\d{2}$""),VALUE(G167),0))"),0)</f>
        <v>0</v>
      </c>
      <c r="I167" s="21"/>
      <c r="J167" s="22"/>
    </row>
    <row r="168" spans="1:10" ht="13.2" x14ac:dyDescent="0.25">
      <c r="A168" s="17"/>
      <c r="B168" s="28">
        <v>4</v>
      </c>
      <c r="C168" s="29"/>
      <c r="D168" s="30"/>
      <c r="E168" s="60"/>
      <c r="F168" s="60"/>
      <c r="G168" s="60"/>
      <c r="H168" s="61">
        <f ca="1">IFERROR(__xludf.DUMMYFUNCTION("MAX(IF(REGEXMATCH(E168,""^\d{1},\d{2}$""),VALUE(E168),0),IF(REGEXMATCH(F168,""^\d{1},\d{2}$""),VALUE(F168),0),IF(REGEXMATCH(G168,""^\d{1},\d{2}$""),VALUE(G168),0))"),0)</f>
        <v>0</v>
      </c>
      <c r="I168" s="21"/>
      <c r="J168" s="22"/>
    </row>
    <row r="169" spans="1:10" ht="13.2" x14ac:dyDescent="0.25">
      <c r="A169" s="17"/>
      <c r="B169" s="28">
        <v>5</v>
      </c>
      <c r="C169" s="29"/>
      <c r="D169" s="30"/>
      <c r="E169" s="60"/>
      <c r="F169" s="60"/>
      <c r="G169" s="60"/>
      <c r="H169" s="61">
        <f ca="1">IFERROR(__xludf.DUMMYFUNCTION("MAX(IF(REGEXMATCH(E169,""^\d{1},\d{2}$""),VALUE(E169),0),IF(REGEXMATCH(F169,""^\d{1},\d{2}$""),VALUE(F169),0),IF(REGEXMATCH(G169,""^\d{1},\d{2}$""),VALUE(G169),0))"),0)</f>
        <v>0</v>
      </c>
      <c r="I169" s="21"/>
      <c r="J169" s="22"/>
    </row>
    <row r="170" spans="1:10" ht="13.2" x14ac:dyDescent="0.25">
      <c r="A170" s="17"/>
      <c r="B170" s="62" t="s">
        <v>18</v>
      </c>
      <c r="C170" s="36"/>
      <c r="D170" s="44"/>
      <c r="E170" s="38"/>
      <c r="F170" s="38"/>
      <c r="G170" s="38"/>
      <c r="H170" s="63"/>
      <c r="I170" s="21"/>
      <c r="J170" s="22"/>
    </row>
    <row r="171" spans="1:10" ht="13.2" x14ac:dyDescent="0.25">
      <c r="A171" s="17"/>
      <c r="B171" s="17"/>
      <c r="D171" s="18"/>
      <c r="E171" s="18"/>
      <c r="F171" s="18"/>
      <c r="G171" s="18"/>
      <c r="H171" s="58"/>
      <c r="I171" s="21"/>
      <c r="J171" s="22"/>
    </row>
    <row r="172" spans="1:10" ht="15.6" x14ac:dyDescent="0.25">
      <c r="A172" s="46">
        <v>22</v>
      </c>
      <c r="B172" s="97"/>
      <c r="C172" s="98"/>
      <c r="D172" s="98"/>
      <c r="E172" s="98"/>
      <c r="F172" s="98"/>
      <c r="G172" s="98"/>
      <c r="H172" s="59"/>
      <c r="I172" s="25">
        <f ca="1">IF(COUNTIFS(H173:H177,"&gt;0") &gt; 3, FLOOR((SUM(H173:H177)-MIN(H173,H174,H175,H176,H177))/4,0.0001), )</f>
        <v>0</v>
      </c>
      <c r="J172" s="26" t="str">
        <f ca="1">IF(I172=0,"",RANK(I172,$I$4:$I$224,))</f>
        <v/>
      </c>
    </row>
    <row r="173" spans="1:10" ht="13.2" x14ac:dyDescent="0.25">
      <c r="A173" s="52"/>
      <c r="B173" s="48">
        <v>1</v>
      </c>
      <c r="C173" s="49"/>
      <c r="D173" s="50"/>
      <c r="E173" s="60"/>
      <c r="F173" s="60"/>
      <c r="G173" s="60"/>
      <c r="H173" s="61">
        <f ca="1">IFERROR(__xludf.DUMMYFUNCTION("MAX(IF(REGEXMATCH(E173,""^\d{1},\d{2}$""),VALUE(E173),0),IF(REGEXMATCH(F173,""^\d{1},\d{2}$""),VALUE(F173),0),IF(REGEXMATCH(G173,""^\d{1},\d{2}$""),VALUE(G173),0))"),0)</f>
        <v>0</v>
      </c>
      <c r="I173" s="51"/>
      <c r="J173" s="52"/>
    </row>
    <row r="174" spans="1:10" ht="13.2" x14ac:dyDescent="0.25">
      <c r="A174" s="52"/>
      <c r="B174" s="48">
        <v>2</v>
      </c>
      <c r="C174" s="49"/>
      <c r="D174" s="50"/>
      <c r="E174" s="60"/>
      <c r="F174" s="60"/>
      <c r="G174" s="60"/>
      <c r="H174" s="61">
        <f ca="1">IFERROR(__xludf.DUMMYFUNCTION("MAX(IF(REGEXMATCH(E174,""^\d{1},\d{2}$""),VALUE(E174),0),IF(REGEXMATCH(F174,""^\d{1},\d{2}$""),VALUE(F174),0),IF(REGEXMATCH(G174,""^\d{1},\d{2}$""),VALUE(G174),0))"),0)</f>
        <v>0</v>
      </c>
      <c r="I174" s="51"/>
      <c r="J174" s="52"/>
    </row>
    <row r="175" spans="1:10" ht="13.2" x14ac:dyDescent="0.25">
      <c r="A175" s="52"/>
      <c r="B175" s="48">
        <v>3</v>
      </c>
      <c r="C175" s="49"/>
      <c r="D175" s="50"/>
      <c r="E175" s="60"/>
      <c r="F175" s="60"/>
      <c r="G175" s="60"/>
      <c r="H175" s="61">
        <f ca="1">IFERROR(__xludf.DUMMYFUNCTION("MAX(IF(REGEXMATCH(E175,""^\d{1},\d{2}$""),VALUE(E175),0),IF(REGEXMATCH(F175,""^\d{1},\d{2}$""),VALUE(F175),0),IF(REGEXMATCH(G175,""^\d{1},\d{2}$""),VALUE(G175),0))"),0)</f>
        <v>0</v>
      </c>
      <c r="I175" s="51"/>
      <c r="J175" s="52"/>
    </row>
    <row r="176" spans="1:10" ht="13.2" x14ac:dyDescent="0.25">
      <c r="A176" s="52"/>
      <c r="B176" s="48">
        <v>4</v>
      </c>
      <c r="C176" s="49"/>
      <c r="D176" s="50"/>
      <c r="E176" s="60"/>
      <c r="F176" s="60"/>
      <c r="G176" s="60"/>
      <c r="H176" s="61">
        <f ca="1">IFERROR(__xludf.DUMMYFUNCTION("MAX(IF(REGEXMATCH(E176,""^\d{1},\d{2}$""),VALUE(E176),0),IF(REGEXMATCH(F176,""^\d{1},\d{2}$""),VALUE(F176),0),IF(REGEXMATCH(G176,""^\d{1},\d{2}$""),VALUE(G176),0))"),0)</f>
        <v>0</v>
      </c>
      <c r="I176" s="51"/>
      <c r="J176" s="52"/>
    </row>
    <row r="177" spans="1:10" ht="13.2" x14ac:dyDescent="0.25">
      <c r="A177" s="52"/>
      <c r="B177" s="48">
        <v>5</v>
      </c>
      <c r="C177" s="49"/>
      <c r="D177" s="50"/>
      <c r="E177" s="60"/>
      <c r="F177" s="60"/>
      <c r="G177" s="60"/>
      <c r="H177" s="61">
        <f ca="1">IFERROR(__xludf.DUMMYFUNCTION("MAX(IF(REGEXMATCH(E177,""^\d{1},\d{2}$""),VALUE(E177),0),IF(REGEXMATCH(F177,""^\d{1},\d{2}$""),VALUE(F177),0),IF(REGEXMATCH(G177,""^\d{1},\d{2}$""),VALUE(G177),0))"),0)</f>
        <v>0</v>
      </c>
      <c r="I177" s="51"/>
      <c r="J177" s="52"/>
    </row>
    <row r="178" spans="1:10" ht="13.2" x14ac:dyDescent="0.25">
      <c r="A178" s="52"/>
      <c r="B178" s="62" t="s">
        <v>18</v>
      </c>
      <c r="C178" s="36"/>
      <c r="D178" s="44"/>
      <c r="E178" s="38"/>
      <c r="F178" s="38"/>
      <c r="G178" s="38"/>
      <c r="H178" s="63"/>
      <c r="I178" s="51"/>
      <c r="J178" s="52"/>
    </row>
    <row r="179" spans="1:10" ht="13.2" x14ac:dyDescent="0.25">
      <c r="A179" s="52"/>
      <c r="B179" s="52"/>
      <c r="C179" s="52"/>
      <c r="D179" s="53"/>
      <c r="E179" s="53"/>
      <c r="F179" s="53"/>
      <c r="G179" s="53"/>
      <c r="H179" s="64"/>
      <c r="I179" s="51"/>
      <c r="J179" s="52"/>
    </row>
    <row r="180" spans="1:10" ht="15.6" x14ac:dyDescent="0.25">
      <c r="A180" s="46">
        <v>23</v>
      </c>
      <c r="B180" s="97"/>
      <c r="C180" s="98"/>
      <c r="D180" s="98"/>
      <c r="E180" s="98"/>
      <c r="F180" s="98"/>
      <c r="G180" s="98"/>
      <c r="H180" s="59"/>
      <c r="I180" s="25">
        <f ca="1">IF(COUNTIFS(H181:H185,"&gt;0") &gt; 3, FLOOR((SUM(H181:H185)-MIN(H181,H182,H183,H184,H185))/4,0.0001), )</f>
        <v>0</v>
      </c>
      <c r="J180" s="26" t="str">
        <f ca="1">IF(I180=0,"",RANK(I180,$I$4:$I$224,))</f>
        <v/>
      </c>
    </row>
    <row r="181" spans="1:10" ht="13.2" x14ac:dyDescent="0.25">
      <c r="A181" s="52"/>
      <c r="B181" s="48">
        <v>1</v>
      </c>
      <c r="C181" s="49"/>
      <c r="D181" s="50"/>
      <c r="E181" s="60"/>
      <c r="F181" s="60"/>
      <c r="G181" s="60"/>
      <c r="H181" s="61">
        <f ca="1">IFERROR(__xludf.DUMMYFUNCTION("MAX(IF(REGEXMATCH(E181,""^\d{1},\d{2}$""),VALUE(E181),0),IF(REGEXMATCH(F181,""^\d{1},\d{2}$""),VALUE(F181),0),IF(REGEXMATCH(G181,""^\d{1},\d{2}$""),VALUE(G181),0))"),0)</f>
        <v>0</v>
      </c>
      <c r="I181" s="51"/>
      <c r="J181" s="52"/>
    </row>
    <row r="182" spans="1:10" ht="13.2" x14ac:dyDescent="0.25">
      <c r="A182" s="52"/>
      <c r="B182" s="48">
        <v>2</v>
      </c>
      <c r="C182" s="49"/>
      <c r="D182" s="50"/>
      <c r="E182" s="60"/>
      <c r="F182" s="60"/>
      <c r="G182" s="60"/>
      <c r="H182" s="61">
        <f ca="1">IFERROR(__xludf.DUMMYFUNCTION("MAX(IF(REGEXMATCH(E182,""^\d{1},\d{2}$""),VALUE(E182),0),IF(REGEXMATCH(F182,""^\d{1},\d{2}$""),VALUE(F182),0),IF(REGEXMATCH(G182,""^\d{1},\d{2}$""),VALUE(G182),0))"),0)</f>
        <v>0</v>
      </c>
      <c r="I182" s="51"/>
      <c r="J182" s="52"/>
    </row>
    <row r="183" spans="1:10" ht="13.2" x14ac:dyDescent="0.25">
      <c r="A183" s="52"/>
      <c r="B183" s="48">
        <v>3</v>
      </c>
      <c r="C183" s="49"/>
      <c r="D183" s="50"/>
      <c r="E183" s="60"/>
      <c r="F183" s="60"/>
      <c r="G183" s="60"/>
      <c r="H183" s="61">
        <f ca="1">IFERROR(__xludf.DUMMYFUNCTION("MAX(IF(REGEXMATCH(E183,""^\d{1},\d{2}$""),VALUE(E183),0),IF(REGEXMATCH(F183,""^\d{1},\d{2}$""),VALUE(F183),0),IF(REGEXMATCH(G183,""^\d{1},\d{2}$""),VALUE(G183),0))"),0)</f>
        <v>0</v>
      </c>
      <c r="I183" s="51"/>
      <c r="J183" s="52"/>
    </row>
    <row r="184" spans="1:10" ht="13.2" x14ac:dyDescent="0.25">
      <c r="A184" s="52"/>
      <c r="B184" s="48">
        <v>4</v>
      </c>
      <c r="C184" s="49"/>
      <c r="D184" s="50"/>
      <c r="E184" s="60"/>
      <c r="F184" s="60"/>
      <c r="G184" s="60"/>
      <c r="H184" s="61">
        <f ca="1">IFERROR(__xludf.DUMMYFUNCTION("MAX(IF(REGEXMATCH(E184,""^\d{1},\d{2}$""),VALUE(E184),0),IF(REGEXMATCH(F184,""^\d{1},\d{2}$""),VALUE(F184),0),IF(REGEXMATCH(G184,""^\d{1},\d{2}$""),VALUE(G184),0))"),0)</f>
        <v>0</v>
      </c>
      <c r="I184" s="51"/>
      <c r="J184" s="52"/>
    </row>
    <row r="185" spans="1:10" ht="13.2" x14ac:dyDescent="0.25">
      <c r="A185" s="52"/>
      <c r="B185" s="48">
        <v>5</v>
      </c>
      <c r="C185" s="49"/>
      <c r="D185" s="50"/>
      <c r="E185" s="60"/>
      <c r="F185" s="60"/>
      <c r="G185" s="60"/>
      <c r="H185" s="61">
        <f ca="1">IFERROR(__xludf.DUMMYFUNCTION("MAX(IF(REGEXMATCH(E185,""^\d{1},\d{2}$""),VALUE(E185),0),IF(REGEXMATCH(F185,""^\d{1},\d{2}$""),VALUE(F185),0),IF(REGEXMATCH(G185,""^\d{1},\d{2}$""),VALUE(G185),0))"),0)</f>
        <v>0</v>
      </c>
      <c r="I185" s="51"/>
      <c r="J185" s="52"/>
    </row>
    <row r="186" spans="1:10" ht="13.2" x14ac:dyDescent="0.25">
      <c r="A186" s="52"/>
      <c r="B186" s="62" t="s">
        <v>18</v>
      </c>
      <c r="C186" s="36"/>
      <c r="D186" s="44"/>
      <c r="E186" s="38"/>
      <c r="F186" s="38"/>
      <c r="G186" s="38"/>
      <c r="H186" s="63"/>
      <c r="I186" s="51"/>
      <c r="J186" s="52"/>
    </row>
    <row r="187" spans="1:10" ht="13.2" x14ac:dyDescent="0.25">
      <c r="A187" s="52"/>
      <c r="B187" s="52"/>
      <c r="C187" s="52"/>
      <c r="D187" s="53"/>
      <c r="E187" s="53"/>
      <c r="F187" s="53"/>
      <c r="G187" s="53"/>
      <c r="H187" s="64"/>
      <c r="I187" s="51"/>
      <c r="J187" s="52"/>
    </row>
    <row r="188" spans="1:10" ht="15.6" x14ac:dyDescent="0.25">
      <c r="A188" s="46">
        <v>24</v>
      </c>
      <c r="B188" s="97"/>
      <c r="C188" s="98"/>
      <c r="D188" s="98"/>
      <c r="E188" s="98"/>
      <c r="F188" s="98"/>
      <c r="G188" s="98"/>
      <c r="H188" s="59"/>
      <c r="I188" s="25">
        <f ca="1">IF(COUNTIFS(H189:H193,"&gt;0") &gt; 3, FLOOR((SUM(H189:H193)-MIN(H189,H190,H191,H192,H193))/4,0.0001), )</f>
        <v>0</v>
      </c>
      <c r="J188" s="26" t="str">
        <f ca="1">IF(I188=0,"",RANK(I188,$I$4:$I$224,))</f>
        <v/>
      </c>
    </row>
    <row r="189" spans="1:10" ht="13.2" x14ac:dyDescent="0.25">
      <c r="A189" s="52"/>
      <c r="B189" s="48">
        <v>1</v>
      </c>
      <c r="C189" s="49"/>
      <c r="D189" s="50"/>
      <c r="E189" s="60"/>
      <c r="F189" s="60"/>
      <c r="G189" s="60"/>
      <c r="H189" s="61">
        <f ca="1">IFERROR(__xludf.DUMMYFUNCTION("MAX(IF(REGEXMATCH(E189,""^\d{1},\d{2}$""),VALUE(E189),0),IF(REGEXMATCH(F189,""^\d{1},\d{2}$""),VALUE(F189),0),IF(REGEXMATCH(G189,""^\d{1},\d{2}$""),VALUE(G189),0))"),0)</f>
        <v>0</v>
      </c>
      <c r="I189" s="51"/>
      <c r="J189" s="52"/>
    </row>
    <row r="190" spans="1:10" ht="13.2" x14ac:dyDescent="0.25">
      <c r="A190" s="52"/>
      <c r="B190" s="48">
        <v>2</v>
      </c>
      <c r="C190" s="49"/>
      <c r="D190" s="50"/>
      <c r="E190" s="60"/>
      <c r="F190" s="60"/>
      <c r="G190" s="60"/>
      <c r="H190" s="61">
        <f ca="1">IFERROR(__xludf.DUMMYFUNCTION("MAX(IF(REGEXMATCH(E190,""^\d{1},\d{2}$""),VALUE(E190),0),IF(REGEXMATCH(F190,""^\d{1},\d{2}$""),VALUE(F190),0),IF(REGEXMATCH(G190,""^\d{1},\d{2}$""),VALUE(G190),0))"),0)</f>
        <v>0</v>
      </c>
      <c r="I190" s="51"/>
      <c r="J190" s="52"/>
    </row>
    <row r="191" spans="1:10" ht="13.2" x14ac:dyDescent="0.25">
      <c r="A191" s="52"/>
      <c r="B191" s="48">
        <v>3</v>
      </c>
      <c r="C191" s="49"/>
      <c r="D191" s="50"/>
      <c r="E191" s="60"/>
      <c r="F191" s="60"/>
      <c r="G191" s="60"/>
      <c r="H191" s="61">
        <f ca="1">IFERROR(__xludf.DUMMYFUNCTION("MAX(IF(REGEXMATCH(E191,""^\d{1},\d{2}$""),VALUE(E191),0),IF(REGEXMATCH(F191,""^\d{1},\d{2}$""),VALUE(F191),0),IF(REGEXMATCH(G191,""^\d{1},\d{2}$""),VALUE(G191),0))"),0)</f>
        <v>0</v>
      </c>
      <c r="I191" s="51"/>
      <c r="J191" s="52"/>
    </row>
    <row r="192" spans="1:10" ht="13.2" x14ac:dyDescent="0.25">
      <c r="A192" s="52"/>
      <c r="B192" s="48">
        <v>4</v>
      </c>
      <c r="C192" s="49"/>
      <c r="D192" s="50"/>
      <c r="E192" s="60"/>
      <c r="F192" s="60"/>
      <c r="G192" s="60"/>
      <c r="H192" s="61">
        <f ca="1">IFERROR(__xludf.DUMMYFUNCTION("MAX(IF(REGEXMATCH(E192,""^\d{1},\d{2}$""),VALUE(E192),0),IF(REGEXMATCH(F192,""^\d{1},\d{2}$""),VALUE(F192),0),IF(REGEXMATCH(G192,""^\d{1},\d{2}$""),VALUE(G192),0))"),0)</f>
        <v>0</v>
      </c>
      <c r="I192" s="51"/>
      <c r="J192" s="52"/>
    </row>
    <row r="193" spans="1:10" ht="13.2" x14ac:dyDescent="0.25">
      <c r="A193" s="52"/>
      <c r="B193" s="48">
        <v>5</v>
      </c>
      <c r="C193" s="49"/>
      <c r="D193" s="50"/>
      <c r="E193" s="60"/>
      <c r="F193" s="60"/>
      <c r="G193" s="60"/>
      <c r="H193" s="61">
        <f ca="1">IFERROR(__xludf.DUMMYFUNCTION("MAX(IF(REGEXMATCH(E193,""^\d{1},\d{2}$""),VALUE(E193),0),IF(REGEXMATCH(F193,""^\d{1},\d{2}$""),VALUE(F193),0),IF(REGEXMATCH(G193,""^\d{1},\d{2}$""),VALUE(G193),0))"),0)</f>
        <v>0</v>
      </c>
      <c r="I193" s="51"/>
      <c r="J193" s="52"/>
    </row>
    <row r="194" spans="1:10" ht="13.2" x14ac:dyDescent="0.25">
      <c r="A194" s="52"/>
      <c r="B194" s="62" t="s">
        <v>18</v>
      </c>
      <c r="C194" s="36"/>
      <c r="D194" s="44"/>
      <c r="E194" s="38"/>
      <c r="F194" s="38"/>
      <c r="G194" s="38"/>
      <c r="H194" s="63"/>
      <c r="I194" s="51"/>
      <c r="J194" s="52"/>
    </row>
    <row r="195" spans="1:10" ht="13.2" x14ac:dyDescent="0.25">
      <c r="A195" s="52"/>
      <c r="B195" s="52"/>
      <c r="C195" s="52"/>
      <c r="D195" s="53"/>
      <c r="E195" s="53"/>
      <c r="F195" s="53"/>
      <c r="G195" s="53"/>
      <c r="H195" s="64"/>
      <c r="I195" s="51"/>
      <c r="J195" s="52"/>
    </row>
    <row r="196" spans="1:10" ht="15.6" x14ac:dyDescent="0.25">
      <c r="A196" s="46">
        <v>25</v>
      </c>
      <c r="B196" s="97"/>
      <c r="C196" s="98"/>
      <c r="D196" s="98"/>
      <c r="E196" s="98"/>
      <c r="F196" s="98"/>
      <c r="G196" s="98"/>
      <c r="H196" s="59"/>
      <c r="I196" s="25">
        <f ca="1">IF(COUNTIFS(H197:H201,"&gt;0") &gt; 3, FLOOR((SUM(H197:H201)-MIN(H197,H198,H199,H200,H201))/4,0.0001), )</f>
        <v>0</v>
      </c>
      <c r="J196" s="26" t="str">
        <f ca="1">IF(I196=0,"",RANK(I196,$I$4:$I$224,))</f>
        <v/>
      </c>
    </row>
    <row r="197" spans="1:10" ht="13.2" x14ac:dyDescent="0.25">
      <c r="A197" s="52"/>
      <c r="B197" s="48">
        <v>1</v>
      </c>
      <c r="C197" s="49"/>
      <c r="D197" s="50"/>
      <c r="E197" s="60"/>
      <c r="F197" s="60"/>
      <c r="G197" s="60"/>
      <c r="H197" s="61">
        <f ca="1">IFERROR(__xludf.DUMMYFUNCTION("MAX(IF(REGEXMATCH(E197,""^\d{1},\d{2}$""),VALUE(E197),0),IF(REGEXMATCH(F197,""^\d{1},\d{2}$""),VALUE(F197),0),IF(REGEXMATCH(G197,""^\d{1},\d{2}$""),VALUE(G197),0))"),0)</f>
        <v>0</v>
      </c>
      <c r="I197" s="51"/>
      <c r="J197" s="52"/>
    </row>
    <row r="198" spans="1:10" ht="13.2" x14ac:dyDescent="0.25">
      <c r="A198" s="52"/>
      <c r="B198" s="48">
        <v>2</v>
      </c>
      <c r="C198" s="49"/>
      <c r="D198" s="50"/>
      <c r="E198" s="60"/>
      <c r="F198" s="60"/>
      <c r="G198" s="60"/>
      <c r="H198" s="61">
        <f ca="1">IFERROR(__xludf.DUMMYFUNCTION("MAX(IF(REGEXMATCH(E198,""^\d{1},\d{2}$""),VALUE(E198),0),IF(REGEXMATCH(F198,""^\d{1},\d{2}$""),VALUE(F198),0),IF(REGEXMATCH(G198,""^\d{1},\d{2}$""),VALUE(G198),0))"),0)</f>
        <v>0</v>
      </c>
      <c r="I198" s="51"/>
      <c r="J198" s="52"/>
    </row>
    <row r="199" spans="1:10" ht="13.2" x14ac:dyDescent="0.25">
      <c r="A199" s="52"/>
      <c r="B199" s="48">
        <v>3</v>
      </c>
      <c r="C199" s="49"/>
      <c r="D199" s="50"/>
      <c r="E199" s="60"/>
      <c r="F199" s="60"/>
      <c r="G199" s="60"/>
      <c r="H199" s="61">
        <f ca="1">IFERROR(__xludf.DUMMYFUNCTION("MAX(IF(REGEXMATCH(E199,""^\d{1},\d{2}$""),VALUE(E199),0),IF(REGEXMATCH(F199,""^\d{1},\d{2}$""),VALUE(F199),0),IF(REGEXMATCH(G199,""^\d{1},\d{2}$""),VALUE(G199),0))"),0)</f>
        <v>0</v>
      </c>
      <c r="I199" s="51"/>
      <c r="J199" s="52"/>
    </row>
    <row r="200" spans="1:10" ht="13.2" x14ac:dyDescent="0.25">
      <c r="A200" s="52"/>
      <c r="B200" s="48">
        <v>4</v>
      </c>
      <c r="C200" s="49"/>
      <c r="D200" s="50"/>
      <c r="E200" s="60"/>
      <c r="F200" s="60"/>
      <c r="G200" s="60"/>
      <c r="H200" s="61">
        <f ca="1">IFERROR(__xludf.DUMMYFUNCTION("MAX(IF(REGEXMATCH(E200,""^\d{1},\d{2}$""),VALUE(E200),0),IF(REGEXMATCH(F200,""^\d{1},\d{2}$""),VALUE(F200),0),IF(REGEXMATCH(G200,""^\d{1},\d{2}$""),VALUE(G200),0))"),0)</f>
        <v>0</v>
      </c>
      <c r="I200" s="51"/>
      <c r="J200" s="52"/>
    </row>
    <row r="201" spans="1:10" ht="13.2" x14ac:dyDescent="0.25">
      <c r="A201" s="52"/>
      <c r="B201" s="48">
        <v>5</v>
      </c>
      <c r="C201" s="49"/>
      <c r="D201" s="50"/>
      <c r="E201" s="60"/>
      <c r="F201" s="60"/>
      <c r="G201" s="60"/>
      <c r="H201" s="61">
        <f ca="1">IFERROR(__xludf.DUMMYFUNCTION("MAX(IF(REGEXMATCH(E201,""^\d{1},\d{2}$""),VALUE(E201),0),IF(REGEXMATCH(F201,""^\d{1},\d{2}$""),VALUE(F201),0),IF(REGEXMATCH(G201,""^\d{1},\d{2}$""),VALUE(G201),0))"),0)</f>
        <v>0</v>
      </c>
      <c r="I201" s="51"/>
      <c r="J201" s="52"/>
    </row>
    <row r="202" spans="1:10" ht="13.2" x14ac:dyDescent="0.25">
      <c r="A202" s="52"/>
      <c r="B202" s="62" t="s">
        <v>18</v>
      </c>
      <c r="C202" s="36"/>
      <c r="D202" s="44"/>
      <c r="E202" s="38"/>
      <c r="F202" s="38"/>
      <c r="G202" s="38"/>
      <c r="H202" s="63"/>
      <c r="I202" s="51"/>
      <c r="J202" s="52"/>
    </row>
    <row r="203" spans="1:10" ht="13.2" x14ac:dyDescent="0.25">
      <c r="A203" s="17"/>
      <c r="B203" s="17"/>
      <c r="D203" s="18"/>
      <c r="E203" s="18"/>
      <c r="F203" s="18"/>
      <c r="G203" s="18"/>
      <c r="H203" s="58"/>
      <c r="I203" s="21"/>
      <c r="J203" s="22"/>
    </row>
    <row r="204" spans="1:10" ht="13.2" x14ac:dyDescent="0.25">
      <c r="A204" s="17"/>
      <c r="B204" s="17"/>
      <c r="D204" s="18"/>
      <c r="E204" s="18"/>
      <c r="F204" s="18"/>
      <c r="G204" s="18"/>
      <c r="H204" s="58"/>
      <c r="I204" s="21"/>
      <c r="J204" s="22"/>
    </row>
    <row r="205" spans="1:10" ht="13.2" x14ac:dyDescent="0.25">
      <c r="A205" s="17"/>
      <c r="B205" s="17"/>
      <c r="D205" s="18"/>
      <c r="E205" s="18"/>
      <c r="F205" s="18"/>
      <c r="G205" s="18"/>
      <c r="H205" s="58"/>
      <c r="I205" s="21"/>
      <c r="J205" s="22"/>
    </row>
    <row r="206" spans="1:10" ht="13.2" x14ac:dyDescent="0.25">
      <c r="A206" s="17"/>
      <c r="B206" s="17"/>
      <c r="D206" s="18"/>
      <c r="E206" s="18"/>
      <c r="F206" s="18"/>
      <c r="G206" s="18"/>
      <c r="H206" s="58"/>
      <c r="I206" s="21"/>
      <c r="J206" s="22"/>
    </row>
    <row r="207" spans="1:10" ht="13.2" x14ac:dyDescent="0.25">
      <c r="A207" s="17"/>
      <c r="B207" s="17"/>
      <c r="D207" s="18"/>
      <c r="E207" s="18"/>
      <c r="F207" s="18"/>
      <c r="G207" s="18"/>
      <c r="H207" s="58"/>
      <c r="I207" s="21"/>
      <c r="J207" s="22"/>
    </row>
    <row r="208" spans="1:10" ht="13.2" x14ac:dyDescent="0.25">
      <c r="A208" s="17"/>
      <c r="B208" s="17"/>
      <c r="D208" s="18"/>
      <c r="E208" s="18"/>
      <c r="F208" s="18"/>
      <c r="G208" s="18"/>
      <c r="H208" s="58"/>
      <c r="I208" s="21"/>
      <c r="J208" s="22"/>
    </row>
    <row r="209" spans="1:10" ht="13.2" x14ac:dyDescent="0.25">
      <c r="A209" s="17"/>
      <c r="B209" s="17"/>
      <c r="D209" s="18"/>
      <c r="E209" s="18"/>
      <c r="F209" s="18"/>
      <c r="G209" s="18"/>
      <c r="H209" s="58"/>
      <c r="I209" s="21"/>
      <c r="J209" s="22"/>
    </row>
    <row r="210" spans="1:10" ht="13.2" x14ac:dyDescent="0.25">
      <c r="A210" s="17"/>
      <c r="B210" s="17"/>
      <c r="D210" s="18"/>
      <c r="E210" s="18"/>
      <c r="F210" s="18"/>
      <c r="G210" s="18"/>
      <c r="H210" s="58"/>
      <c r="I210" s="21"/>
      <c r="J210" s="22"/>
    </row>
    <row r="211" spans="1:10" ht="13.2" x14ac:dyDescent="0.25">
      <c r="A211" s="17"/>
      <c r="B211" s="17"/>
      <c r="D211" s="18"/>
      <c r="E211" s="18"/>
      <c r="F211" s="18"/>
      <c r="G211" s="18"/>
      <c r="H211" s="58"/>
      <c r="I211" s="21"/>
      <c r="J211" s="22"/>
    </row>
    <row r="212" spans="1:10" ht="13.2" x14ac:dyDescent="0.25">
      <c r="A212" s="17"/>
      <c r="B212" s="17"/>
      <c r="D212" s="18"/>
      <c r="E212" s="18"/>
      <c r="F212" s="18"/>
      <c r="G212" s="18"/>
      <c r="H212" s="58"/>
      <c r="I212" s="21"/>
      <c r="J212" s="22"/>
    </row>
    <row r="213" spans="1:10" ht="13.2" x14ac:dyDescent="0.25">
      <c r="A213" s="17"/>
      <c r="B213" s="17"/>
      <c r="D213" s="18"/>
      <c r="E213" s="18"/>
      <c r="F213" s="18"/>
      <c r="G213" s="18"/>
      <c r="H213" s="58"/>
      <c r="I213" s="21"/>
      <c r="J213" s="22"/>
    </row>
    <row r="214" spans="1:10" ht="13.2" x14ac:dyDescent="0.25">
      <c r="A214" s="17"/>
      <c r="B214" s="17"/>
      <c r="D214" s="18"/>
      <c r="E214" s="18"/>
      <c r="F214" s="18"/>
      <c r="G214" s="18"/>
      <c r="H214" s="58"/>
      <c r="I214" s="21"/>
      <c r="J214" s="22"/>
    </row>
    <row r="215" spans="1:10" ht="13.2" x14ac:dyDescent="0.25">
      <c r="A215" s="17"/>
      <c r="B215" s="17"/>
      <c r="D215" s="18"/>
      <c r="E215" s="18"/>
      <c r="F215" s="18"/>
      <c r="G215" s="18"/>
      <c r="H215" s="58"/>
      <c r="I215" s="21"/>
      <c r="J215" s="22"/>
    </row>
    <row r="216" spans="1:10" ht="13.2" x14ac:dyDescent="0.25">
      <c r="A216" s="17"/>
      <c r="B216" s="17"/>
      <c r="D216" s="18"/>
      <c r="E216" s="18"/>
      <c r="F216" s="18"/>
      <c r="G216" s="18"/>
      <c r="H216" s="58"/>
      <c r="I216" s="21"/>
      <c r="J216" s="22"/>
    </row>
    <row r="217" spans="1:10" ht="13.2" x14ac:dyDescent="0.25">
      <c r="A217" s="17"/>
      <c r="B217" s="17"/>
      <c r="D217" s="18"/>
      <c r="E217" s="18"/>
      <c r="F217" s="18"/>
      <c r="G217" s="18"/>
      <c r="H217" s="58"/>
      <c r="I217" s="21"/>
      <c r="J217" s="22"/>
    </row>
    <row r="218" spans="1:10" ht="13.2" x14ac:dyDescent="0.25">
      <c r="A218" s="17"/>
      <c r="B218" s="17"/>
      <c r="D218" s="18"/>
      <c r="E218" s="18"/>
      <c r="F218" s="18"/>
      <c r="G218" s="18"/>
      <c r="H218" s="58"/>
      <c r="I218" s="21"/>
      <c r="J218" s="22"/>
    </row>
    <row r="219" spans="1:10" ht="13.2" x14ac:dyDescent="0.25">
      <c r="A219" s="17"/>
      <c r="B219" s="17"/>
      <c r="D219" s="18"/>
      <c r="E219" s="18"/>
      <c r="F219" s="18"/>
      <c r="G219" s="18"/>
      <c r="H219" s="58"/>
      <c r="I219" s="21"/>
      <c r="J219" s="22"/>
    </row>
    <row r="220" spans="1:10" ht="13.2" x14ac:dyDescent="0.25">
      <c r="A220" s="17"/>
      <c r="B220" s="17"/>
      <c r="D220" s="18"/>
      <c r="E220" s="18"/>
      <c r="F220" s="18"/>
      <c r="G220" s="18"/>
      <c r="H220" s="58"/>
      <c r="I220" s="21"/>
      <c r="J220" s="22"/>
    </row>
    <row r="221" spans="1:10" ht="13.2" x14ac:dyDescent="0.25">
      <c r="A221" s="17"/>
      <c r="B221" s="17"/>
      <c r="D221" s="18"/>
      <c r="E221" s="18"/>
      <c r="F221" s="18"/>
      <c r="G221" s="18"/>
      <c r="H221" s="58"/>
      <c r="I221" s="21"/>
      <c r="J221" s="22"/>
    </row>
    <row r="222" spans="1:10" ht="13.2" x14ac:dyDescent="0.25">
      <c r="A222" s="17"/>
      <c r="B222" s="17"/>
      <c r="D222" s="18"/>
      <c r="E222" s="18"/>
      <c r="F222" s="18"/>
      <c r="G222" s="18"/>
      <c r="H222" s="58"/>
      <c r="I222" s="21"/>
      <c r="J222" s="22"/>
    </row>
    <row r="223" spans="1:10" ht="13.2" x14ac:dyDescent="0.25">
      <c r="A223" s="17"/>
      <c r="B223" s="17"/>
      <c r="D223" s="18"/>
      <c r="E223" s="18"/>
      <c r="F223" s="18"/>
      <c r="G223" s="18"/>
      <c r="H223" s="58"/>
      <c r="I223" s="21"/>
      <c r="J223" s="22"/>
    </row>
    <row r="224" spans="1:10" ht="13.2" x14ac:dyDescent="0.25">
      <c r="A224" s="17"/>
      <c r="B224" s="17"/>
      <c r="D224" s="18"/>
      <c r="E224" s="18"/>
      <c r="F224" s="18"/>
      <c r="G224" s="18"/>
      <c r="H224" s="58"/>
      <c r="I224" s="21"/>
      <c r="J224" s="22"/>
    </row>
    <row r="225" spans="1:10" ht="13.2" x14ac:dyDescent="0.25">
      <c r="A225" s="17"/>
      <c r="B225" s="17"/>
      <c r="D225" s="18"/>
      <c r="E225" s="18"/>
      <c r="F225" s="18"/>
      <c r="G225" s="18"/>
      <c r="H225" s="58"/>
      <c r="I225" s="21"/>
      <c r="J225" s="22"/>
    </row>
    <row r="226" spans="1:10" ht="13.2" x14ac:dyDescent="0.25">
      <c r="A226" s="17"/>
      <c r="B226" s="17"/>
      <c r="D226" s="18"/>
      <c r="E226" s="18"/>
      <c r="F226" s="18"/>
      <c r="G226" s="18"/>
      <c r="H226" s="58"/>
      <c r="I226" s="21"/>
      <c r="J226" s="22"/>
    </row>
    <row r="227" spans="1:10" ht="13.2" x14ac:dyDescent="0.25">
      <c r="A227" s="17"/>
      <c r="B227" s="17"/>
      <c r="D227" s="18"/>
      <c r="E227" s="18"/>
      <c r="F227" s="18"/>
      <c r="G227" s="18"/>
      <c r="H227" s="58"/>
      <c r="I227" s="21"/>
      <c r="J227" s="22"/>
    </row>
    <row r="228" spans="1:10" ht="13.2" x14ac:dyDescent="0.25">
      <c r="A228" s="17"/>
      <c r="B228" s="17"/>
      <c r="D228" s="18"/>
      <c r="E228" s="18"/>
      <c r="F228" s="18"/>
      <c r="G228" s="18"/>
      <c r="H228" s="58"/>
      <c r="I228" s="21"/>
      <c r="J228" s="22"/>
    </row>
    <row r="229" spans="1:10" ht="13.2" x14ac:dyDescent="0.25">
      <c r="A229" s="17"/>
      <c r="B229" s="17"/>
      <c r="D229" s="18"/>
      <c r="E229" s="18"/>
      <c r="F229" s="18"/>
      <c r="G229" s="18"/>
      <c r="H229" s="58"/>
      <c r="I229" s="21"/>
      <c r="J229" s="22"/>
    </row>
    <row r="230" spans="1:10" ht="13.2" x14ac:dyDescent="0.25">
      <c r="A230" s="17"/>
      <c r="B230" s="17"/>
      <c r="D230" s="18"/>
      <c r="E230" s="18"/>
      <c r="F230" s="18"/>
      <c r="G230" s="18"/>
      <c r="H230" s="58"/>
      <c r="I230" s="21"/>
      <c r="J230" s="22"/>
    </row>
    <row r="231" spans="1:10" ht="13.2" x14ac:dyDescent="0.25">
      <c r="A231" s="17"/>
      <c r="B231" s="17"/>
      <c r="D231" s="18"/>
      <c r="E231" s="18"/>
      <c r="F231" s="18"/>
      <c r="G231" s="18"/>
      <c r="H231" s="58"/>
      <c r="I231" s="21"/>
      <c r="J231" s="22"/>
    </row>
    <row r="232" spans="1:10" ht="13.2" x14ac:dyDescent="0.25">
      <c r="A232" s="17"/>
      <c r="B232" s="17"/>
      <c r="D232" s="18"/>
      <c r="E232" s="18"/>
      <c r="F232" s="18"/>
      <c r="G232" s="18"/>
      <c r="H232" s="58"/>
      <c r="I232" s="21"/>
      <c r="J232" s="22"/>
    </row>
    <row r="233" spans="1:10" ht="13.2" x14ac:dyDescent="0.25">
      <c r="A233" s="17"/>
      <c r="B233" s="17"/>
      <c r="D233" s="18"/>
      <c r="E233" s="18"/>
      <c r="F233" s="18"/>
      <c r="G233" s="18"/>
      <c r="H233" s="58"/>
      <c r="I233" s="21"/>
      <c r="J233" s="22"/>
    </row>
    <row r="234" spans="1:10" ht="13.2" x14ac:dyDescent="0.25">
      <c r="A234" s="17"/>
      <c r="B234" s="17"/>
      <c r="D234" s="18"/>
      <c r="E234" s="18"/>
      <c r="F234" s="18"/>
      <c r="G234" s="18"/>
      <c r="H234" s="58"/>
      <c r="I234" s="21"/>
      <c r="J234" s="22"/>
    </row>
    <row r="235" spans="1:10" ht="13.2" x14ac:dyDescent="0.25">
      <c r="A235" s="17"/>
      <c r="B235" s="17"/>
      <c r="D235" s="18"/>
      <c r="E235" s="18"/>
      <c r="F235" s="18"/>
      <c r="G235" s="18"/>
      <c r="H235" s="58"/>
      <c r="I235" s="21"/>
      <c r="J235" s="22"/>
    </row>
    <row r="236" spans="1:10" ht="13.2" x14ac:dyDescent="0.25">
      <c r="A236" s="17"/>
      <c r="B236" s="17"/>
      <c r="D236" s="18"/>
      <c r="E236" s="18"/>
      <c r="F236" s="18"/>
      <c r="G236" s="18"/>
      <c r="H236" s="58"/>
      <c r="I236" s="21"/>
      <c r="J236" s="22"/>
    </row>
    <row r="237" spans="1:10" ht="13.2" x14ac:dyDescent="0.25">
      <c r="A237" s="17"/>
      <c r="B237" s="17"/>
      <c r="D237" s="18"/>
      <c r="E237" s="18"/>
      <c r="F237" s="18"/>
      <c r="G237" s="18"/>
      <c r="H237" s="58"/>
      <c r="I237" s="21"/>
      <c r="J237" s="22"/>
    </row>
    <row r="238" spans="1:10" ht="13.2" x14ac:dyDescent="0.25">
      <c r="A238" s="17"/>
      <c r="B238" s="17"/>
      <c r="D238" s="18"/>
      <c r="E238" s="18"/>
      <c r="F238" s="18"/>
      <c r="G238" s="18"/>
      <c r="H238" s="58"/>
      <c r="I238" s="21"/>
      <c r="J238" s="22"/>
    </row>
    <row r="239" spans="1:10" ht="13.2" x14ac:dyDescent="0.25">
      <c r="A239" s="17"/>
      <c r="B239" s="17"/>
      <c r="D239" s="18"/>
      <c r="E239" s="18"/>
      <c r="F239" s="18"/>
      <c r="G239" s="18"/>
      <c r="H239" s="58"/>
      <c r="I239" s="21"/>
      <c r="J239" s="22"/>
    </row>
    <row r="240" spans="1:10" ht="13.2" x14ac:dyDescent="0.25">
      <c r="A240" s="17"/>
      <c r="B240" s="17"/>
      <c r="D240" s="18"/>
      <c r="E240" s="18"/>
      <c r="F240" s="18"/>
      <c r="G240" s="18"/>
      <c r="H240" s="58"/>
      <c r="I240" s="21"/>
      <c r="J240" s="22"/>
    </row>
    <row r="241" spans="1:10" ht="13.2" x14ac:dyDescent="0.25">
      <c r="A241" s="17"/>
      <c r="B241" s="17"/>
      <c r="D241" s="18"/>
      <c r="E241" s="18"/>
      <c r="F241" s="18"/>
      <c r="G241" s="18"/>
      <c r="H241" s="58"/>
      <c r="I241" s="21"/>
      <c r="J241" s="22"/>
    </row>
    <row r="242" spans="1:10" ht="13.2" x14ac:dyDescent="0.25">
      <c r="A242" s="17"/>
      <c r="B242" s="17"/>
      <c r="D242" s="18"/>
      <c r="E242" s="18"/>
      <c r="F242" s="18"/>
      <c r="G242" s="18"/>
      <c r="H242" s="58"/>
      <c r="I242" s="21"/>
      <c r="J242" s="22"/>
    </row>
    <row r="243" spans="1:10" ht="13.2" x14ac:dyDescent="0.25">
      <c r="A243" s="17"/>
      <c r="B243" s="17"/>
      <c r="D243" s="18"/>
      <c r="E243" s="18"/>
      <c r="F243" s="18"/>
      <c r="G243" s="18"/>
      <c r="H243" s="58"/>
      <c r="I243" s="21"/>
      <c r="J243" s="22"/>
    </row>
    <row r="244" spans="1:10" ht="13.2" x14ac:dyDescent="0.25">
      <c r="A244" s="17"/>
      <c r="B244" s="17"/>
      <c r="D244" s="18"/>
      <c r="E244" s="18"/>
      <c r="F244" s="18"/>
      <c r="G244" s="18"/>
      <c r="H244" s="58"/>
      <c r="I244" s="21"/>
      <c r="J244" s="22"/>
    </row>
    <row r="245" spans="1:10" ht="13.2" x14ac:dyDescent="0.25">
      <c r="A245" s="17"/>
      <c r="B245" s="17"/>
      <c r="D245" s="18"/>
      <c r="E245" s="18"/>
      <c r="F245" s="18"/>
      <c r="G245" s="18"/>
      <c r="H245" s="58"/>
      <c r="I245" s="21"/>
      <c r="J245" s="22"/>
    </row>
    <row r="246" spans="1:10" ht="13.2" x14ac:dyDescent="0.25">
      <c r="A246" s="17"/>
      <c r="B246" s="17"/>
      <c r="D246" s="18"/>
      <c r="E246" s="18"/>
      <c r="F246" s="18"/>
      <c r="G246" s="18"/>
      <c r="H246" s="58"/>
      <c r="I246" s="21"/>
      <c r="J246" s="22"/>
    </row>
    <row r="247" spans="1:10" ht="13.2" x14ac:dyDescent="0.25">
      <c r="A247" s="17"/>
      <c r="B247" s="17"/>
      <c r="D247" s="18"/>
      <c r="E247" s="18"/>
      <c r="F247" s="18"/>
      <c r="G247" s="18"/>
      <c r="H247" s="58"/>
      <c r="I247" s="21"/>
      <c r="J247" s="22"/>
    </row>
    <row r="248" spans="1:10" ht="13.2" x14ac:dyDescent="0.25">
      <c r="A248" s="17"/>
      <c r="B248" s="17"/>
      <c r="D248" s="18"/>
      <c r="E248" s="18"/>
      <c r="F248" s="18"/>
      <c r="G248" s="18"/>
      <c r="H248" s="58"/>
      <c r="I248" s="21"/>
      <c r="J248" s="22"/>
    </row>
    <row r="249" spans="1:10" ht="13.2" x14ac:dyDescent="0.25">
      <c r="A249" s="17"/>
      <c r="B249" s="17"/>
      <c r="D249" s="18"/>
      <c r="E249" s="18"/>
      <c r="F249" s="18"/>
      <c r="G249" s="18"/>
      <c r="H249" s="58"/>
      <c r="I249" s="21"/>
      <c r="J249" s="22"/>
    </row>
    <row r="250" spans="1:10" ht="13.2" x14ac:dyDescent="0.25">
      <c r="A250" s="17"/>
      <c r="B250" s="17"/>
      <c r="D250" s="18"/>
      <c r="E250" s="18"/>
      <c r="F250" s="18"/>
      <c r="G250" s="18"/>
      <c r="H250" s="58"/>
      <c r="I250" s="21"/>
      <c r="J250" s="22"/>
    </row>
    <row r="251" spans="1:10" ht="13.2" x14ac:dyDescent="0.25">
      <c r="A251" s="17"/>
      <c r="B251" s="17"/>
      <c r="D251" s="18"/>
      <c r="E251" s="18"/>
      <c r="F251" s="18"/>
      <c r="G251" s="18"/>
      <c r="H251" s="58"/>
      <c r="I251" s="21"/>
      <c r="J251" s="22"/>
    </row>
    <row r="252" spans="1:10" ht="13.2" x14ac:dyDescent="0.25">
      <c r="A252" s="17"/>
      <c r="B252" s="17"/>
      <c r="D252" s="18"/>
      <c r="E252" s="18"/>
      <c r="F252" s="18"/>
      <c r="G252" s="18"/>
      <c r="H252" s="58"/>
      <c r="I252" s="21"/>
      <c r="J252" s="22"/>
    </row>
    <row r="253" spans="1:10" ht="13.2" x14ac:dyDescent="0.25">
      <c r="A253" s="17"/>
      <c r="B253" s="17"/>
      <c r="D253" s="18"/>
      <c r="E253" s="18"/>
      <c r="F253" s="18"/>
      <c r="G253" s="18"/>
      <c r="H253" s="58"/>
      <c r="I253" s="21"/>
      <c r="J253" s="22"/>
    </row>
    <row r="254" spans="1:10" ht="13.2" x14ac:dyDescent="0.25">
      <c r="A254" s="17"/>
      <c r="B254" s="17"/>
      <c r="D254" s="18"/>
      <c r="E254" s="18"/>
      <c r="F254" s="18"/>
      <c r="G254" s="18"/>
      <c r="H254" s="58"/>
      <c r="I254" s="21"/>
      <c r="J254" s="22"/>
    </row>
    <row r="255" spans="1:10" ht="13.2" x14ac:dyDescent="0.25">
      <c r="A255" s="17"/>
      <c r="B255" s="17"/>
      <c r="D255" s="18"/>
      <c r="E255" s="18"/>
      <c r="F255" s="18"/>
      <c r="G255" s="18"/>
      <c r="H255" s="58"/>
      <c r="I255" s="21"/>
      <c r="J255" s="22"/>
    </row>
    <row r="256" spans="1:10" ht="13.2" x14ac:dyDescent="0.25">
      <c r="A256" s="17"/>
      <c r="B256" s="17"/>
      <c r="D256" s="18"/>
      <c r="E256" s="18"/>
      <c r="F256" s="18"/>
      <c r="G256" s="18"/>
      <c r="H256" s="58"/>
      <c r="I256" s="21"/>
      <c r="J256" s="22"/>
    </row>
    <row r="257" spans="1:10" ht="13.2" x14ac:dyDescent="0.25">
      <c r="A257" s="17"/>
      <c r="B257" s="17"/>
      <c r="D257" s="18"/>
      <c r="E257" s="18"/>
      <c r="F257" s="18"/>
      <c r="G257" s="18"/>
      <c r="H257" s="58"/>
      <c r="I257" s="21"/>
      <c r="J257" s="22"/>
    </row>
    <row r="258" spans="1:10" ht="13.2" x14ac:dyDescent="0.25">
      <c r="A258" s="17"/>
      <c r="B258" s="17"/>
      <c r="D258" s="18"/>
      <c r="E258" s="18"/>
      <c r="F258" s="18"/>
      <c r="G258" s="18"/>
      <c r="H258" s="58"/>
      <c r="I258" s="21"/>
      <c r="J258" s="22"/>
    </row>
    <row r="259" spans="1:10" ht="13.2" x14ac:dyDescent="0.25">
      <c r="A259" s="17"/>
      <c r="B259" s="17"/>
      <c r="D259" s="18"/>
      <c r="E259" s="18"/>
      <c r="F259" s="18"/>
      <c r="G259" s="18"/>
      <c r="H259" s="58"/>
      <c r="I259" s="21"/>
      <c r="J259" s="22"/>
    </row>
    <row r="260" spans="1:10" ht="13.2" x14ac:dyDescent="0.25">
      <c r="A260" s="17"/>
      <c r="B260" s="17"/>
      <c r="D260" s="18"/>
      <c r="E260" s="18"/>
      <c r="F260" s="18"/>
      <c r="G260" s="18"/>
      <c r="H260" s="58"/>
      <c r="I260" s="21"/>
      <c r="J260" s="22"/>
    </row>
    <row r="261" spans="1:10" ht="13.2" x14ac:dyDescent="0.25">
      <c r="A261" s="17"/>
      <c r="B261" s="17"/>
      <c r="D261" s="18"/>
      <c r="E261" s="18"/>
      <c r="F261" s="18"/>
      <c r="G261" s="18"/>
      <c r="H261" s="58"/>
      <c r="I261" s="21"/>
      <c r="J261" s="22"/>
    </row>
    <row r="262" spans="1:10" ht="13.2" x14ac:dyDescent="0.25">
      <c r="A262" s="17"/>
      <c r="B262" s="17"/>
      <c r="D262" s="18"/>
      <c r="E262" s="18"/>
      <c r="F262" s="18"/>
      <c r="G262" s="18"/>
      <c r="H262" s="58"/>
      <c r="I262" s="21"/>
      <c r="J262" s="22"/>
    </row>
    <row r="263" spans="1:10" ht="13.2" x14ac:dyDescent="0.25">
      <c r="A263" s="17"/>
      <c r="B263" s="17"/>
      <c r="D263" s="18"/>
      <c r="E263" s="18"/>
      <c r="F263" s="18"/>
      <c r="G263" s="18"/>
      <c r="H263" s="58"/>
      <c r="I263" s="21"/>
      <c r="J263" s="22"/>
    </row>
    <row r="264" spans="1:10" ht="13.2" x14ac:dyDescent="0.25">
      <c r="A264" s="17"/>
      <c r="B264" s="17"/>
      <c r="D264" s="18"/>
      <c r="E264" s="18"/>
      <c r="F264" s="18"/>
      <c r="G264" s="18"/>
      <c r="H264" s="58"/>
      <c r="I264" s="21"/>
      <c r="J264" s="22"/>
    </row>
    <row r="265" spans="1:10" ht="13.2" x14ac:dyDescent="0.25">
      <c r="A265" s="17"/>
      <c r="B265" s="17"/>
      <c r="D265" s="18"/>
      <c r="E265" s="18"/>
      <c r="F265" s="18"/>
      <c r="G265" s="18"/>
      <c r="H265" s="58"/>
      <c r="I265" s="21"/>
      <c r="J265" s="22"/>
    </row>
    <row r="266" spans="1:10" ht="13.2" x14ac:dyDescent="0.25">
      <c r="A266" s="17"/>
      <c r="B266" s="17"/>
      <c r="D266" s="18"/>
      <c r="E266" s="18"/>
      <c r="F266" s="18"/>
      <c r="G266" s="18"/>
      <c r="H266" s="58"/>
      <c r="I266" s="21"/>
      <c r="J266" s="22"/>
    </row>
    <row r="267" spans="1:10" ht="13.2" x14ac:dyDescent="0.25">
      <c r="A267" s="17"/>
      <c r="B267" s="17"/>
      <c r="D267" s="18"/>
      <c r="E267" s="18"/>
      <c r="F267" s="18"/>
      <c r="G267" s="18"/>
      <c r="H267" s="58"/>
      <c r="I267" s="21"/>
      <c r="J267" s="22"/>
    </row>
    <row r="268" spans="1:10" ht="13.2" x14ac:dyDescent="0.25">
      <c r="A268" s="17"/>
      <c r="B268" s="17"/>
      <c r="D268" s="18"/>
      <c r="E268" s="18"/>
      <c r="F268" s="18"/>
      <c r="G268" s="18"/>
      <c r="H268" s="58"/>
      <c r="I268" s="21"/>
      <c r="J268" s="22"/>
    </row>
    <row r="269" spans="1:10" ht="13.2" x14ac:dyDescent="0.25">
      <c r="A269" s="17"/>
      <c r="B269" s="17"/>
      <c r="D269" s="18"/>
      <c r="E269" s="18"/>
      <c r="F269" s="18"/>
      <c r="G269" s="18"/>
      <c r="H269" s="58"/>
      <c r="I269" s="21"/>
      <c r="J269" s="22"/>
    </row>
    <row r="270" spans="1:10" ht="13.2" x14ac:dyDescent="0.25">
      <c r="A270" s="17"/>
      <c r="B270" s="17"/>
      <c r="D270" s="18"/>
      <c r="E270" s="18"/>
      <c r="F270" s="18"/>
      <c r="G270" s="18"/>
      <c r="H270" s="58"/>
      <c r="I270" s="21"/>
      <c r="J270" s="22"/>
    </row>
    <row r="271" spans="1:10" ht="13.2" x14ac:dyDescent="0.25">
      <c r="A271" s="17"/>
      <c r="B271" s="17"/>
      <c r="D271" s="18"/>
      <c r="E271" s="18"/>
      <c r="F271" s="18"/>
      <c r="G271" s="18"/>
      <c r="H271" s="58"/>
      <c r="I271" s="21"/>
      <c r="J271" s="22"/>
    </row>
    <row r="272" spans="1:10" ht="13.2" x14ac:dyDescent="0.25">
      <c r="A272" s="17"/>
      <c r="B272" s="17"/>
      <c r="D272" s="18"/>
      <c r="E272" s="18"/>
      <c r="F272" s="18"/>
      <c r="G272" s="18"/>
      <c r="H272" s="58"/>
      <c r="I272" s="21"/>
      <c r="J272" s="22"/>
    </row>
    <row r="273" spans="1:10" ht="13.2" x14ac:dyDescent="0.25">
      <c r="A273" s="17"/>
      <c r="B273" s="17"/>
      <c r="D273" s="18"/>
      <c r="E273" s="18"/>
      <c r="F273" s="18"/>
      <c r="G273" s="18"/>
      <c r="H273" s="58"/>
      <c r="I273" s="21"/>
      <c r="J273" s="22"/>
    </row>
    <row r="274" spans="1:10" ht="13.2" x14ac:dyDescent="0.25">
      <c r="A274" s="17"/>
      <c r="B274" s="17"/>
      <c r="D274" s="18"/>
      <c r="E274" s="18"/>
      <c r="F274" s="18"/>
      <c r="G274" s="18"/>
      <c r="H274" s="58"/>
      <c r="I274" s="21"/>
      <c r="J274" s="22"/>
    </row>
    <row r="275" spans="1:10" ht="13.2" x14ac:dyDescent="0.25">
      <c r="A275" s="17"/>
      <c r="B275" s="17"/>
      <c r="D275" s="18"/>
      <c r="E275" s="18"/>
      <c r="F275" s="18"/>
      <c r="G275" s="18"/>
      <c r="H275" s="58"/>
      <c r="I275" s="21"/>
      <c r="J275" s="22"/>
    </row>
    <row r="276" spans="1:10" ht="13.2" x14ac:dyDescent="0.25">
      <c r="A276" s="17"/>
      <c r="B276" s="17"/>
      <c r="D276" s="18"/>
      <c r="E276" s="18"/>
      <c r="F276" s="18"/>
      <c r="G276" s="18"/>
      <c r="H276" s="58"/>
      <c r="I276" s="21"/>
      <c r="J276" s="22"/>
    </row>
    <row r="277" spans="1:10" ht="13.2" x14ac:dyDescent="0.25">
      <c r="A277" s="17"/>
      <c r="B277" s="17"/>
      <c r="D277" s="18"/>
      <c r="E277" s="18"/>
      <c r="F277" s="18"/>
      <c r="G277" s="18"/>
      <c r="H277" s="58"/>
      <c r="I277" s="21"/>
      <c r="J277" s="22"/>
    </row>
    <row r="278" spans="1:10" ht="13.2" x14ac:dyDescent="0.25">
      <c r="A278" s="17"/>
      <c r="B278" s="17"/>
      <c r="D278" s="18"/>
      <c r="E278" s="18"/>
      <c r="F278" s="18"/>
      <c r="G278" s="18"/>
      <c r="H278" s="58"/>
      <c r="I278" s="21"/>
      <c r="J278" s="22"/>
    </row>
    <row r="279" spans="1:10" ht="13.2" x14ac:dyDescent="0.25">
      <c r="A279" s="17"/>
      <c r="B279" s="17"/>
      <c r="D279" s="18"/>
      <c r="E279" s="18"/>
      <c r="F279" s="18"/>
      <c r="G279" s="18"/>
      <c r="H279" s="58"/>
      <c r="I279" s="21"/>
      <c r="J279" s="22"/>
    </row>
    <row r="280" spans="1:10" ht="13.2" x14ac:dyDescent="0.25">
      <c r="A280" s="17"/>
      <c r="B280" s="17"/>
      <c r="D280" s="18"/>
      <c r="E280" s="18"/>
      <c r="F280" s="18"/>
      <c r="G280" s="18"/>
      <c r="H280" s="58"/>
      <c r="I280" s="21"/>
      <c r="J280" s="22"/>
    </row>
    <row r="281" spans="1:10" ht="13.2" x14ac:dyDescent="0.25">
      <c r="A281" s="17"/>
      <c r="B281" s="17"/>
      <c r="D281" s="18"/>
      <c r="E281" s="18"/>
      <c r="F281" s="18"/>
      <c r="G281" s="18"/>
      <c r="H281" s="58"/>
      <c r="I281" s="21"/>
      <c r="J281" s="22"/>
    </row>
    <row r="282" spans="1:10" ht="13.2" x14ac:dyDescent="0.25">
      <c r="A282" s="17"/>
      <c r="B282" s="17"/>
      <c r="D282" s="18"/>
      <c r="E282" s="18"/>
      <c r="F282" s="18"/>
      <c r="G282" s="18"/>
      <c r="H282" s="58"/>
      <c r="I282" s="21"/>
      <c r="J282" s="22"/>
    </row>
    <row r="283" spans="1:10" ht="13.2" x14ac:dyDescent="0.25">
      <c r="A283" s="17"/>
      <c r="B283" s="17"/>
      <c r="D283" s="18"/>
      <c r="E283" s="18"/>
      <c r="F283" s="18"/>
      <c r="G283" s="18"/>
      <c r="H283" s="58"/>
      <c r="I283" s="21"/>
      <c r="J283" s="22"/>
    </row>
    <row r="284" spans="1:10" ht="13.2" x14ac:dyDescent="0.25">
      <c r="A284" s="17"/>
      <c r="B284" s="17"/>
      <c r="D284" s="18"/>
      <c r="E284" s="18"/>
      <c r="F284" s="18"/>
      <c r="G284" s="18"/>
      <c r="H284" s="58"/>
      <c r="I284" s="21"/>
      <c r="J284" s="22"/>
    </row>
    <row r="285" spans="1:10" ht="13.2" x14ac:dyDescent="0.25">
      <c r="A285" s="17"/>
      <c r="B285" s="17"/>
      <c r="D285" s="18"/>
      <c r="E285" s="18"/>
      <c r="F285" s="18"/>
      <c r="G285" s="18"/>
      <c r="H285" s="58"/>
      <c r="I285" s="21"/>
      <c r="J285" s="22"/>
    </row>
    <row r="286" spans="1:10" ht="13.2" x14ac:dyDescent="0.25">
      <c r="A286" s="17"/>
      <c r="B286" s="17"/>
      <c r="D286" s="18"/>
      <c r="E286" s="18"/>
      <c r="F286" s="18"/>
      <c r="G286" s="18"/>
      <c r="H286" s="58"/>
      <c r="I286" s="21"/>
      <c r="J286" s="22"/>
    </row>
    <row r="287" spans="1:10" ht="13.2" x14ac:dyDescent="0.25">
      <c r="A287" s="17"/>
      <c r="B287" s="17"/>
      <c r="D287" s="18"/>
      <c r="E287" s="18"/>
      <c r="F287" s="18"/>
      <c r="G287" s="18"/>
      <c r="H287" s="58"/>
      <c r="I287" s="21"/>
      <c r="J287" s="22"/>
    </row>
    <row r="288" spans="1:10" ht="13.2" x14ac:dyDescent="0.25">
      <c r="A288" s="17"/>
      <c r="B288" s="17"/>
      <c r="D288" s="18"/>
      <c r="E288" s="18"/>
      <c r="F288" s="18"/>
      <c r="G288" s="18"/>
      <c r="H288" s="58"/>
      <c r="I288" s="21"/>
      <c r="J288" s="22"/>
    </row>
    <row r="289" spans="1:10" ht="13.2" x14ac:dyDescent="0.25">
      <c r="A289" s="17"/>
      <c r="B289" s="17"/>
      <c r="D289" s="18"/>
      <c r="E289" s="18"/>
      <c r="F289" s="18"/>
      <c r="G289" s="18"/>
      <c r="H289" s="58"/>
      <c r="I289" s="21"/>
      <c r="J289" s="22"/>
    </row>
    <row r="290" spans="1:10" ht="13.2" x14ac:dyDescent="0.25">
      <c r="A290" s="17"/>
      <c r="B290" s="17"/>
      <c r="D290" s="18"/>
      <c r="E290" s="18"/>
      <c r="F290" s="18"/>
      <c r="G290" s="18"/>
      <c r="H290" s="58"/>
      <c r="I290" s="21"/>
      <c r="J290" s="22"/>
    </row>
    <row r="291" spans="1:10" ht="13.2" x14ac:dyDescent="0.25">
      <c r="A291" s="17"/>
      <c r="B291" s="17"/>
      <c r="D291" s="18"/>
      <c r="E291" s="18"/>
      <c r="F291" s="18"/>
      <c r="G291" s="18"/>
      <c r="H291" s="58"/>
      <c r="I291" s="21"/>
      <c r="J291" s="22"/>
    </row>
    <row r="292" spans="1:10" ht="13.2" x14ac:dyDescent="0.25">
      <c r="A292" s="17"/>
      <c r="B292" s="17"/>
      <c r="D292" s="18"/>
      <c r="E292" s="18"/>
      <c r="F292" s="18"/>
      <c r="G292" s="18"/>
      <c r="H292" s="58"/>
      <c r="I292" s="21"/>
      <c r="J292" s="22"/>
    </row>
    <row r="293" spans="1:10" ht="13.2" x14ac:dyDescent="0.25">
      <c r="A293" s="17"/>
      <c r="B293" s="17"/>
      <c r="D293" s="18"/>
      <c r="E293" s="18"/>
      <c r="F293" s="18"/>
      <c r="G293" s="18"/>
      <c r="H293" s="58"/>
      <c r="I293" s="21"/>
      <c r="J293" s="22"/>
    </row>
    <row r="294" spans="1:10" ht="13.2" x14ac:dyDescent="0.25">
      <c r="A294" s="17"/>
      <c r="B294" s="17"/>
      <c r="D294" s="18"/>
      <c r="E294" s="18"/>
      <c r="F294" s="18"/>
      <c r="G294" s="18"/>
      <c r="H294" s="58"/>
      <c r="I294" s="21"/>
      <c r="J294" s="22"/>
    </row>
    <row r="295" spans="1:10" ht="13.2" x14ac:dyDescent="0.25">
      <c r="A295" s="17"/>
      <c r="B295" s="17"/>
      <c r="D295" s="18"/>
      <c r="E295" s="18"/>
      <c r="F295" s="18"/>
      <c r="G295" s="18"/>
      <c r="H295" s="58"/>
      <c r="I295" s="21"/>
      <c r="J295" s="22"/>
    </row>
    <row r="296" spans="1:10" ht="13.2" x14ac:dyDescent="0.25">
      <c r="A296" s="17"/>
      <c r="B296" s="17"/>
      <c r="D296" s="18"/>
      <c r="E296" s="18"/>
      <c r="F296" s="18"/>
      <c r="G296" s="18"/>
      <c r="H296" s="58"/>
      <c r="I296" s="21"/>
      <c r="J296" s="22"/>
    </row>
    <row r="297" spans="1:10" ht="13.2" x14ac:dyDescent="0.25">
      <c r="A297" s="17"/>
      <c r="B297" s="17"/>
      <c r="D297" s="18"/>
      <c r="E297" s="18"/>
      <c r="F297" s="18"/>
      <c r="G297" s="18"/>
      <c r="H297" s="58"/>
      <c r="I297" s="21"/>
      <c r="J297" s="22"/>
    </row>
    <row r="298" spans="1:10" ht="13.2" x14ac:dyDescent="0.25">
      <c r="A298" s="17"/>
      <c r="B298" s="17"/>
      <c r="D298" s="18"/>
      <c r="E298" s="18"/>
      <c r="F298" s="18"/>
      <c r="G298" s="18"/>
      <c r="H298" s="58"/>
      <c r="I298" s="21"/>
      <c r="J298" s="22"/>
    </row>
    <row r="299" spans="1:10" ht="13.2" x14ac:dyDescent="0.25">
      <c r="A299" s="17"/>
      <c r="B299" s="17"/>
      <c r="D299" s="18"/>
      <c r="E299" s="18"/>
      <c r="F299" s="18"/>
      <c r="G299" s="18"/>
      <c r="H299" s="58"/>
      <c r="I299" s="21"/>
      <c r="J299" s="22"/>
    </row>
    <row r="300" spans="1:10" ht="13.2" x14ac:dyDescent="0.25">
      <c r="A300" s="17"/>
      <c r="B300" s="17"/>
      <c r="D300" s="18"/>
      <c r="E300" s="18"/>
      <c r="F300" s="18"/>
      <c r="G300" s="18"/>
      <c r="H300" s="58"/>
      <c r="I300" s="21"/>
      <c r="J300" s="22"/>
    </row>
    <row r="301" spans="1:10" ht="13.2" x14ac:dyDescent="0.25">
      <c r="A301" s="17"/>
      <c r="B301" s="17"/>
      <c r="D301" s="18"/>
      <c r="E301" s="18"/>
      <c r="F301" s="18"/>
      <c r="G301" s="18"/>
      <c r="H301" s="58"/>
      <c r="I301" s="21"/>
      <c r="J301" s="22"/>
    </row>
    <row r="302" spans="1:10" ht="13.2" x14ac:dyDescent="0.25">
      <c r="A302" s="17"/>
      <c r="B302" s="17"/>
      <c r="D302" s="18"/>
      <c r="E302" s="18"/>
      <c r="F302" s="18"/>
      <c r="G302" s="18"/>
      <c r="H302" s="58"/>
      <c r="I302" s="21"/>
      <c r="J302" s="22"/>
    </row>
    <row r="303" spans="1:10" ht="13.2" x14ac:dyDescent="0.25">
      <c r="A303" s="17"/>
      <c r="B303" s="17"/>
      <c r="D303" s="18"/>
      <c r="E303" s="18"/>
      <c r="F303" s="18"/>
      <c r="G303" s="18"/>
      <c r="H303" s="58"/>
      <c r="I303" s="21"/>
      <c r="J303" s="22"/>
    </row>
    <row r="304" spans="1:10" ht="13.2" x14ac:dyDescent="0.25">
      <c r="A304" s="17"/>
      <c r="B304" s="17"/>
      <c r="D304" s="18"/>
      <c r="E304" s="18"/>
      <c r="F304" s="18"/>
      <c r="G304" s="18"/>
      <c r="H304" s="58"/>
      <c r="I304" s="21"/>
      <c r="J304" s="22"/>
    </row>
    <row r="305" spans="1:10" ht="13.2" x14ac:dyDescent="0.25">
      <c r="A305" s="17"/>
      <c r="B305" s="17"/>
      <c r="D305" s="18"/>
      <c r="E305" s="18"/>
      <c r="F305" s="18"/>
      <c r="G305" s="18"/>
      <c r="H305" s="58"/>
      <c r="I305" s="21"/>
      <c r="J305" s="22"/>
    </row>
    <row r="306" spans="1:10" ht="13.2" x14ac:dyDescent="0.25">
      <c r="A306" s="17"/>
      <c r="B306" s="17"/>
      <c r="D306" s="18"/>
      <c r="E306" s="18"/>
      <c r="F306" s="18"/>
      <c r="G306" s="18"/>
      <c r="H306" s="58"/>
      <c r="I306" s="21"/>
      <c r="J306" s="22"/>
    </row>
    <row r="307" spans="1:10" ht="13.2" x14ac:dyDescent="0.25">
      <c r="A307" s="17"/>
      <c r="B307" s="17"/>
      <c r="D307" s="18"/>
      <c r="E307" s="18"/>
      <c r="F307" s="18"/>
      <c r="G307" s="18"/>
      <c r="H307" s="58"/>
      <c r="I307" s="21"/>
      <c r="J307" s="22"/>
    </row>
    <row r="308" spans="1:10" ht="13.2" x14ac:dyDescent="0.25">
      <c r="A308" s="17"/>
      <c r="B308" s="17"/>
      <c r="D308" s="18"/>
      <c r="E308" s="18"/>
      <c r="F308" s="18"/>
      <c r="G308" s="18"/>
      <c r="H308" s="58"/>
      <c r="I308" s="21"/>
      <c r="J308" s="22"/>
    </row>
    <row r="309" spans="1:10" ht="13.2" x14ac:dyDescent="0.25">
      <c r="A309" s="17"/>
      <c r="B309" s="17"/>
      <c r="D309" s="18"/>
      <c r="E309" s="18"/>
      <c r="F309" s="18"/>
      <c r="G309" s="18"/>
      <c r="H309" s="58"/>
      <c r="I309" s="21"/>
      <c r="J309" s="22"/>
    </row>
    <row r="310" spans="1:10" ht="13.2" x14ac:dyDescent="0.25">
      <c r="A310" s="17"/>
      <c r="B310" s="17"/>
      <c r="D310" s="18"/>
      <c r="E310" s="18"/>
      <c r="F310" s="18"/>
      <c r="G310" s="18"/>
      <c r="H310" s="58"/>
      <c r="I310" s="21"/>
      <c r="J310" s="22"/>
    </row>
    <row r="311" spans="1:10" ht="13.2" x14ac:dyDescent="0.25">
      <c r="A311" s="17"/>
      <c r="B311" s="17"/>
      <c r="D311" s="18"/>
      <c r="E311" s="18"/>
      <c r="F311" s="18"/>
      <c r="G311" s="18"/>
      <c r="H311" s="58"/>
      <c r="I311" s="21"/>
      <c r="J311" s="22"/>
    </row>
    <row r="312" spans="1:10" ht="13.2" x14ac:dyDescent="0.25">
      <c r="A312" s="17"/>
      <c r="B312" s="17"/>
      <c r="D312" s="18"/>
      <c r="E312" s="18"/>
      <c r="F312" s="18"/>
      <c r="G312" s="18"/>
      <c r="H312" s="58"/>
      <c r="I312" s="21"/>
      <c r="J312" s="22"/>
    </row>
    <row r="313" spans="1:10" ht="13.2" x14ac:dyDescent="0.25">
      <c r="A313" s="17"/>
      <c r="B313" s="17"/>
      <c r="D313" s="18"/>
      <c r="E313" s="18"/>
      <c r="F313" s="18"/>
      <c r="G313" s="18"/>
      <c r="H313" s="58"/>
      <c r="I313" s="21"/>
      <c r="J313" s="22"/>
    </row>
    <row r="314" spans="1:10" ht="13.2" x14ac:dyDescent="0.25">
      <c r="A314" s="17"/>
      <c r="B314" s="17"/>
      <c r="D314" s="18"/>
      <c r="E314" s="18"/>
      <c r="F314" s="18"/>
      <c r="G314" s="18"/>
      <c r="H314" s="58"/>
      <c r="I314" s="21"/>
      <c r="J314" s="22"/>
    </row>
    <row r="315" spans="1:10" ht="13.2" x14ac:dyDescent="0.25">
      <c r="A315" s="17"/>
      <c r="B315" s="17"/>
      <c r="D315" s="18"/>
      <c r="E315" s="18"/>
      <c r="F315" s="18"/>
      <c r="G315" s="18"/>
      <c r="H315" s="58"/>
      <c r="I315" s="21"/>
      <c r="J315" s="22"/>
    </row>
    <row r="316" spans="1:10" ht="13.2" x14ac:dyDescent="0.25">
      <c r="A316" s="17"/>
      <c r="B316" s="17"/>
      <c r="D316" s="18"/>
      <c r="E316" s="18"/>
      <c r="F316" s="18"/>
      <c r="G316" s="18"/>
      <c r="H316" s="58"/>
      <c r="I316" s="21"/>
      <c r="J316" s="22"/>
    </row>
    <row r="317" spans="1:10" ht="13.2" x14ac:dyDescent="0.25">
      <c r="A317" s="17"/>
      <c r="B317" s="17"/>
      <c r="D317" s="18"/>
      <c r="E317" s="18"/>
      <c r="F317" s="18"/>
      <c r="G317" s="18"/>
      <c r="H317" s="58"/>
      <c r="I317" s="21"/>
      <c r="J317" s="22"/>
    </row>
    <row r="318" spans="1:10" ht="13.2" x14ac:dyDescent="0.25">
      <c r="A318" s="17"/>
      <c r="B318" s="17"/>
      <c r="D318" s="18"/>
      <c r="E318" s="18"/>
      <c r="F318" s="18"/>
      <c r="G318" s="18"/>
      <c r="H318" s="58"/>
      <c r="I318" s="21"/>
      <c r="J318" s="22"/>
    </row>
    <row r="319" spans="1:10" ht="13.2" x14ac:dyDescent="0.25">
      <c r="A319" s="17"/>
      <c r="B319" s="17"/>
      <c r="D319" s="18"/>
      <c r="E319" s="18"/>
      <c r="F319" s="18"/>
      <c r="G319" s="18"/>
      <c r="H319" s="58"/>
      <c r="I319" s="21"/>
      <c r="J319" s="22"/>
    </row>
    <row r="320" spans="1:10" ht="13.2" x14ac:dyDescent="0.25">
      <c r="A320" s="17"/>
      <c r="B320" s="17"/>
      <c r="D320" s="18"/>
      <c r="E320" s="18"/>
      <c r="F320" s="18"/>
      <c r="G320" s="18"/>
      <c r="H320" s="58"/>
      <c r="I320" s="21"/>
      <c r="J320" s="22"/>
    </row>
    <row r="321" spans="1:10" ht="13.2" x14ac:dyDescent="0.25">
      <c r="A321" s="17"/>
      <c r="B321" s="17"/>
      <c r="D321" s="18"/>
      <c r="E321" s="18"/>
      <c r="F321" s="18"/>
      <c r="G321" s="18"/>
      <c r="H321" s="58"/>
      <c r="I321" s="21"/>
      <c r="J321" s="22"/>
    </row>
    <row r="322" spans="1:10" ht="13.2" x14ac:dyDescent="0.25">
      <c r="A322" s="17"/>
      <c r="B322" s="17"/>
      <c r="D322" s="18"/>
      <c r="E322" s="18"/>
      <c r="F322" s="18"/>
      <c r="G322" s="18"/>
      <c r="H322" s="58"/>
      <c r="I322" s="21"/>
      <c r="J322" s="22"/>
    </row>
    <row r="323" spans="1:10" ht="13.2" x14ac:dyDescent="0.25">
      <c r="A323" s="17"/>
      <c r="B323" s="17"/>
      <c r="D323" s="18"/>
      <c r="E323" s="18"/>
      <c r="F323" s="18"/>
      <c r="G323" s="18"/>
      <c r="H323" s="58"/>
      <c r="I323" s="21"/>
      <c r="J323" s="22"/>
    </row>
    <row r="324" spans="1:10" ht="13.2" x14ac:dyDescent="0.25">
      <c r="A324" s="17"/>
      <c r="B324" s="17"/>
      <c r="D324" s="18"/>
      <c r="E324" s="18"/>
      <c r="F324" s="18"/>
      <c r="G324" s="18"/>
      <c r="H324" s="58"/>
      <c r="I324" s="21"/>
      <c r="J324" s="22"/>
    </row>
    <row r="325" spans="1:10" ht="13.2" x14ac:dyDescent="0.25">
      <c r="A325" s="17"/>
      <c r="B325" s="17"/>
      <c r="D325" s="18"/>
      <c r="E325" s="18"/>
      <c r="F325" s="18"/>
      <c r="G325" s="18"/>
      <c r="H325" s="58"/>
      <c r="I325" s="21"/>
      <c r="J325" s="22"/>
    </row>
    <row r="326" spans="1:10" ht="13.2" x14ac:dyDescent="0.25">
      <c r="A326" s="17"/>
      <c r="B326" s="17"/>
      <c r="D326" s="18"/>
      <c r="E326" s="18"/>
      <c r="F326" s="18"/>
      <c r="G326" s="18"/>
      <c r="H326" s="58"/>
      <c r="I326" s="21"/>
      <c r="J326" s="22"/>
    </row>
    <row r="327" spans="1:10" ht="13.2" x14ac:dyDescent="0.25">
      <c r="A327" s="17"/>
      <c r="B327" s="17"/>
      <c r="D327" s="18"/>
      <c r="E327" s="18"/>
      <c r="F327" s="18"/>
      <c r="G327" s="18"/>
      <c r="H327" s="58"/>
      <c r="I327" s="21"/>
      <c r="J327" s="22"/>
    </row>
    <row r="328" spans="1:10" ht="13.2" x14ac:dyDescent="0.25">
      <c r="A328" s="17"/>
      <c r="B328" s="17"/>
      <c r="D328" s="18"/>
      <c r="E328" s="18"/>
      <c r="F328" s="18"/>
      <c r="G328" s="18"/>
      <c r="H328" s="58"/>
      <c r="I328" s="21"/>
      <c r="J328" s="22"/>
    </row>
    <row r="329" spans="1:10" ht="13.2" x14ac:dyDescent="0.25">
      <c r="A329" s="17"/>
      <c r="B329" s="17"/>
      <c r="D329" s="18"/>
      <c r="E329" s="18"/>
      <c r="F329" s="18"/>
      <c r="G329" s="18"/>
      <c r="H329" s="58"/>
      <c r="I329" s="21"/>
      <c r="J329" s="22"/>
    </row>
    <row r="330" spans="1:10" ht="13.2" x14ac:dyDescent="0.25">
      <c r="A330" s="17"/>
      <c r="B330" s="17"/>
      <c r="D330" s="18"/>
      <c r="E330" s="18"/>
      <c r="F330" s="18"/>
      <c r="G330" s="18"/>
      <c r="H330" s="58"/>
      <c r="I330" s="21"/>
      <c r="J330" s="22"/>
    </row>
    <row r="331" spans="1:10" ht="13.2" x14ac:dyDescent="0.25">
      <c r="A331" s="17"/>
      <c r="B331" s="17"/>
      <c r="D331" s="18"/>
      <c r="E331" s="18"/>
      <c r="F331" s="18"/>
      <c r="G331" s="18"/>
      <c r="H331" s="58"/>
      <c r="I331" s="21"/>
      <c r="J331" s="22"/>
    </row>
    <row r="332" spans="1:10" ht="13.2" x14ac:dyDescent="0.25">
      <c r="A332" s="17"/>
      <c r="B332" s="17"/>
      <c r="D332" s="18"/>
      <c r="E332" s="18"/>
      <c r="F332" s="18"/>
      <c r="G332" s="18"/>
      <c r="H332" s="58"/>
      <c r="I332" s="21"/>
      <c r="J332" s="22"/>
    </row>
    <row r="333" spans="1:10" ht="13.2" x14ac:dyDescent="0.25">
      <c r="A333" s="17"/>
      <c r="B333" s="17"/>
      <c r="D333" s="18"/>
      <c r="E333" s="18"/>
      <c r="F333" s="18"/>
      <c r="G333" s="18"/>
      <c r="H333" s="58"/>
      <c r="I333" s="21"/>
      <c r="J333" s="22"/>
    </row>
    <row r="334" spans="1:10" ht="13.2" x14ac:dyDescent="0.25">
      <c r="A334" s="17"/>
      <c r="B334" s="17"/>
      <c r="D334" s="18"/>
      <c r="E334" s="18"/>
      <c r="F334" s="18"/>
      <c r="G334" s="18"/>
      <c r="H334" s="58"/>
      <c r="I334" s="21"/>
      <c r="J334" s="22"/>
    </row>
    <row r="335" spans="1:10" ht="13.2" x14ac:dyDescent="0.25">
      <c r="A335" s="17"/>
      <c r="B335" s="17"/>
      <c r="D335" s="18"/>
      <c r="E335" s="18"/>
      <c r="F335" s="18"/>
      <c r="G335" s="18"/>
      <c r="H335" s="58"/>
      <c r="I335" s="21"/>
      <c r="J335" s="22"/>
    </row>
    <row r="336" spans="1:10" ht="13.2" x14ac:dyDescent="0.25">
      <c r="A336" s="17"/>
      <c r="B336" s="17"/>
      <c r="D336" s="18"/>
      <c r="E336" s="18"/>
      <c r="F336" s="18"/>
      <c r="G336" s="18"/>
      <c r="H336" s="58"/>
      <c r="I336" s="21"/>
      <c r="J336" s="22"/>
    </row>
    <row r="337" spans="1:10" ht="13.2" x14ac:dyDescent="0.25">
      <c r="A337" s="17"/>
      <c r="B337" s="17"/>
      <c r="D337" s="18"/>
      <c r="E337" s="18"/>
      <c r="F337" s="18"/>
      <c r="G337" s="18"/>
      <c r="H337" s="58"/>
      <c r="I337" s="21"/>
      <c r="J337" s="22"/>
    </row>
    <row r="338" spans="1:10" ht="13.2" x14ac:dyDescent="0.25">
      <c r="A338" s="17"/>
      <c r="B338" s="17"/>
      <c r="D338" s="18"/>
      <c r="E338" s="18"/>
      <c r="F338" s="18"/>
      <c r="G338" s="18"/>
      <c r="H338" s="58"/>
      <c r="I338" s="21"/>
      <c r="J338" s="22"/>
    </row>
    <row r="339" spans="1:10" ht="13.2" x14ac:dyDescent="0.25">
      <c r="A339" s="17"/>
      <c r="B339" s="17"/>
      <c r="D339" s="18"/>
      <c r="E339" s="18"/>
      <c r="F339" s="18"/>
      <c r="G339" s="18"/>
      <c r="H339" s="58"/>
      <c r="I339" s="21"/>
      <c r="J339" s="22"/>
    </row>
    <row r="340" spans="1:10" ht="13.2" x14ac:dyDescent="0.25">
      <c r="A340" s="17"/>
      <c r="B340" s="17"/>
      <c r="D340" s="18"/>
      <c r="E340" s="18"/>
      <c r="F340" s="18"/>
      <c r="G340" s="18"/>
      <c r="H340" s="58"/>
      <c r="I340" s="21"/>
      <c r="J340" s="22"/>
    </row>
    <row r="341" spans="1:10" ht="13.2" x14ac:dyDescent="0.25">
      <c r="A341" s="17"/>
      <c r="B341" s="17"/>
      <c r="D341" s="18"/>
      <c r="E341" s="18"/>
      <c r="F341" s="18"/>
      <c r="G341" s="18"/>
      <c r="H341" s="58"/>
      <c r="I341" s="21"/>
      <c r="J341" s="22"/>
    </row>
    <row r="342" spans="1:10" ht="13.2" x14ac:dyDescent="0.25">
      <c r="A342" s="17"/>
      <c r="B342" s="17"/>
      <c r="D342" s="18"/>
      <c r="E342" s="18"/>
      <c r="F342" s="18"/>
      <c r="G342" s="18"/>
      <c r="H342" s="58"/>
      <c r="I342" s="21"/>
      <c r="J342" s="22"/>
    </row>
    <row r="343" spans="1:10" ht="13.2" x14ac:dyDescent="0.25">
      <c r="A343" s="17"/>
      <c r="B343" s="17"/>
      <c r="D343" s="18"/>
      <c r="E343" s="18"/>
      <c r="F343" s="18"/>
      <c r="G343" s="18"/>
      <c r="H343" s="58"/>
      <c r="I343" s="21"/>
      <c r="J343" s="22"/>
    </row>
    <row r="344" spans="1:10" ht="13.2" x14ac:dyDescent="0.25">
      <c r="A344" s="17"/>
      <c r="B344" s="17"/>
      <c r="D344" s="18"/>
      <c r="E344" s="18"/>
      <c r="F344" s="18"/>
      <c r="G344" s="18"/>
      <c r="H344" s="58"/>
      <c r="I344" s="21"/>
      <c r="J344" s="22"/>
    </row>
    <row r="345" spans="1:10" ht="13.2" x14ac:dyDescent="0.25">
      <c r="A345" s="17"/>
      <c r="B345" s="17"/>
      <c r="D345" s="18"/>
      <c r="E345" s="18"/>
      <c r="F345" s="18"/>
      <c r="G345" s="18"/>
      <c r="H345" s="58"/>
      <c r="I345" s="21"/>
      <c r="J345" s="22"/>
    </row>
    <row r="346" spans="1:10" ht="13.2" x14ac:dyDescent="0.25">
      <c r="A346" s="17"/>
      <c r="B346" s="17"/>
      <c r="D346" s="18"/>
      <c r="E346" s="18"/>
      <c r="F346" s="18"/>
      <c r="G346" s="18"/>
      <c r="H346" s="58"/>
      <c r="I346" s="21"/>
      <c r="J346" s="22"/>
    </row>
    <row r="347" spans="1:10" ht="13.2" x14ac:dyDescent="0.25">
      <c r="A347" s="17"/>
      <c r="B347" s="17"/>
      <c r="D347" s="18"/>
      <c r="E347" s="18"/>
      <c r="F347" s="18"/>
      <c r="G347" s="18"/>
      <c r="H347" s="58"/>
      <c r="I347" s="21"/>
      <c r="J347" s="22"/>
    </row>
    <row r="348" spans="1:10" ht="13.2" x14ac:dyDescent="0.25">
      <c r="A348" s="17"/>
      <c r="B348" s="17"/>
      <c r="D348" s="18"/>
      <c r="E348" s="18"/>
      <c r="F348" s="18"/>
      <c r="G348" s="18"/>
      <c r="H348" s="58"/>
      <c r="I348" s="21"/>
      <c r="J348" s="22"/>
    </row>
    <row r="349" spans="1:10" ht="13.2" x14ac:dyDescent="0.25">
      <c r="A349" s="17"/>
      <c r="B349" s="17"/>
      <c r="D349" s="18"/>
      <c r="E349" s="18"/>
      <c r="F349" s="18"/>
      <c r="G349" s="18"/>
      <c r="H349" s="58"/>
      <c r="I349" s="21"/>
      <c r="J349" s="22"/>
    </row>
    <row r="350" spans="1:10" ht="13.2" x14ac:dyDescent="0.25">
      <c r="A350" s="17"/>
      <c r="B350" s="17"/>
      <c r="D350" s="18"/>
      <c r="E350" s="18"/>
      <c r="F350" s="18"/>
      <c r="G350" s="18"/>
      <c r="H350" s="58"/>
      <c r="I350" s="21"/>
      <c r="J350" s="22"/>
    </row>
    <row r="351" spans="1:10" ht="13.2" x14ac:dyDescent="0.25">
      <c r="A351" s="17"/>
      <c r="B351" s="17"/>
      <c r="D351" s="18"/>
      <c r="E351" s="18"/>
      <c r="F351" s="18"/>
      <c r="G351" s="18"/>
      <c r="H351" s="58"/>
      <c r="I351" s="21"/>
      <c r="J351" s="22"/>
    </row>
    <row r="352" spans="1:10" ht="13.2" x14ac:dyDescent="0.25">
      <c r="A352" s="17"/>
      <c r="B352" s="17"/>
      <c r="D352" s="18"/>
      <c r="E352" s="18"/>
      <c r="F352" s="18"/>
      <c r="G352" s="18"/>
      <c r="H352" s="58"/>
      <c r="I352" s="21"/>
      <c r="J352" s="22"/>
    </row>
    <row r="353" spans="1:10" ht="13.2" x14ac:dyDescent="0.25">
      <c r="A353" s="17"/>
      <c r="B353" s="17"/>
      <c r="D353" s="18"/>
      <c r="E353" s="18"/>
      <c r="F353" s="18"/>
      <c r="G353" s="18"/>
      <c r="H353" s="58"/>
      <c r="I353" s="21"/>
      <c r="J353" s="22"/>
    </row>
    <row r="354" spans="1:10" ht="13.2" x14ac:dyDescent="0.25">
      <c r="A354" s="17"/>
      <c r="B354" s="17"/>
      <c r="D354" s="18"/>
      <c r="E354" s="18"/>
      <c r="F354" s="18"/>
      <c r="G354" s="18"/>
      <c r="H354" s="58"/>
      <c r="I354" s="21"/>
      <c r="J354" s="22"/>
    </row>
    <row r="355" spans="1:10" ht="13.2" x14ac:dyDescent="0.25">
      <c r="A355" s="17"/>
      <c r="B355" s="17"/>
      <c r="D355" s="18"/>
      <c r="E355" s="18"/>
      <c r="F355" s="18"/>
      <c r="G355" s="18"/>
      <c r="H355" s="58"/>
      <c r="I355" s="21"/>
      <c r="J355" s="22"/>
    </row>
    <row r="356" spans="1:10" ht="13.2" x14ac:dyDescent="0.25">
      <c r="A356" s="17"/>
      <c r="B356" s="17"/>
      <c r="D356" s="18"/>
      <c r="E356" s="18"/>
      <c r="F356" s="18"/>
      <c r="G356" s="18"/>
      <c r="H356" s="58"/>
      <c r="I356" s="21"/>
      <c r="J356" s="22"/>
    </row>
    <row r="357" spans="1:10" ht="13.2" x14ac:dyDescent="0.25">
      <c r="A357" s="17"/>
      <c r="B357" s="17"/>
      <c r="D357" s="18"/>
      <c r="E357" s="18"/>
      <c r="F357" s="18"/>
      <c r="G357" s="18"/>
      <c r="H357" s="58"/>
      <c r="I357" s="21"/>
      <c r="J357" s="22"/>
    </row>
    <row r="358" spans="1:10" ht="13.2" x14ac:dyDescent="0.25">
      <c r="A358" s="17"/>
      <c r="B358" s="17"/>
      <c r="D358" s="18"/>
      <c r="E358" s="18"/>
      <c r="F358" s="18"/>
      <c r="G358" s="18"/>
      <c r="H358" s="58"/>
      <c r="I358" s="21"/>
      <c r="J358" s="22"/>
    </row>
    <row r="359" spans="1:10" ht="13.2" x14ac:dyDescent="0.25">
      <c r="A359" s="17"/>
      <c r="B359" s="17"/>
      <c r="D359" s="18"/>
      <c r="E359" s="18"/>
      <c r="F359" s="18"/>
      <c r="G359" s="18"/>
      <c r="H359" s="58"/>
      <c r="I359" s="21"/>
      <c r="J359" s="22"/>
    </row>
    <row r="360" spans="1:10" ht="13.2" x14ac:dyDescent="0.25">
      <c r="A360" s="17"/>
      <c r="B360" s="17"/>
      <c r="D360" s="18"/>
      <c r="E360" s="18"/>
      <c r="F360" s="18"/>
      <c r="G360" s="18"/>
      <c r="H360" s="58"/>
      <c r="I360" s="21"/>
      <c r="J360" s="22"/>
    </row>
    <row r="361" spans="1:10" ht="13.2" x14ac:dyDescent="0.25">
      <c r="A361" s="17"/>
      <c r="B361" s="17"/>
      <c r="D361" s="18"/>
      <c r="E361" s="18"/>
      <c r="F361" s="18"/>
      <c r="G361" s="18"/>
      <c r="H361" s="58"/>
      <c r="I361" s="21"/>
      <c r="J361" s="22"/>
    </row>
    <row r="362" spans="1:10" ht="13.2" x14ac:dyDescent="0.25">
      <c r="A362" s="17"/>
      <c r="B362" s="17"/>
      <c r="D362" s="18"/>
      <c r="E362" s="18"/>
      <c r="F362" s="18"/>
      <c r="G362" s="18"/>
      <c r="H362" s="58"/>
      <c r="I362" s="21"/>
      <c r="J362" s="22"/>
    </row>
    <row r="363" spans="1:10" ht="13.2" x14ac:dyDescent="0.25">
      <c r="A363" s="17"/>
      <c r="B363" s="17"/>
      <c r="D363" s="18"/>
      <c r="E363" s="18"/>
      <c r="F363" s="18"/>
      <c r="G363" s="18"/>
      <c r="H363" s="58"/>
      <c r="I363" s="21"/>
      <c r="J363" s="22"/>
    </row>
    <row r="364" spans="1:10" ht="13.2" x14ac:dyDescent="0.25">
      <c r="A364" s="17"/>
      <c r="B364" s="17"/>
      <c r="D364" s="18"/>
      <c r="E364" s="18"/>
      <c r="F364" s="18"/>
      <c r="G364" s="18"/>
      <c r="H364" s="58"/>
      <c r="I364" s="21"/>
      <c r="J364" s="22"/>
    </row>
    <row r="365" spans="1:10" ht="13.2" x14ac:dyDescent="0.25">
      <c r="A365" s="17"/>
      <c r="B365" s="17"/>
      <c r="D365" s="18"/>
      <c r="E365" s="18"/>
      <c r="F365" s="18"/>
      <c r="G365" s="18"/>
      <c r="H365" s="58"/>
      <c r="I365" s="21"/>
      <c r="J365" s="22"/>
    </row>
    <row r="366" spans="1:10" ht="13.2" x14ac:dyDescent="0.25">
      <c r="A366" s="17"/>
      <c r="B366" s="17"/>
      <c r="D366" s="18"/>
      <c r="E366" s="18"/>
      <c r="F366" s="18"/>
      <c r="G366" s="18"/>
      <c r="H366" s="58"/>
      <c r="I366" s="21"/>
      <c r="J366" s="22"/>
    </row>
    <row r="367" spans="1:10" ht="13.2" x14ac:dyDescent="0.25">
      <c r="A367" s="17"/>
      <c r="B367" s="17"/>
      <c r="D367" s="18"/>
      <c r="E367" s="18"/>
      <c r="F367" s="18"/>
      <c r="G367" s="18"/>
      <c r="H367" s="58"/>
      <c r="I367" s="21"/>
      <c r="J367" s="22"/>
    </row>
    <row r="368" spans="1:10" ht="13.2" x14ac:dyDescent="0.25">
      <c r="A368" s="17"/>
      <c r="B368" s="17"/>
      <c r="D368" s="18"/>
      <c r="E368" s="18"/>
      <c r="F368" s="18"/>
      <c r="G368" s="18"/>
      <c r="H368" s="58"/>
      <c r="I368" s="21"/>
      <c r="J368" s="22"/>
    </row>
    <row r="369" spans="1:10" ht="13.2" x14ac:dyDescent="0.25">
      <c r="A369" s="17"/>
      <c r="B369" s="17"/>
      <c r="D369" s="18"/>
      <c r="E369" s="18"/>
      <c r="F369" s="18"/>
      <c r="G369" s="18"/>
      <c r="H369" s="58"/>
      <c r="I369" s="21"/>
      <c r="J369" s="22"/>
    </row>
    <row r="370" spans="1:10" ht="13.2" x14ac:dyDescent="0.25">
      <c r="A370" s="17"/>
      <c r="B370" s="17"/>
      <c r="D370" s="18"/>
      <c r="E370" s="18"/>
      <c r="F370" s="18"/>
      <c r="G370" s="18"/>
      <c r="H370" s="58"/>
      <c r="I370" s="21"/>
      <c r="J370" s="22"/>
    </row>
    <row r="371" spans="1:10" ht="13.2" x14ac:dyDescent="0.25">
      <c r="A371" s="17"/>
      <c r="B371" s="17"/>
      <c r="D371" s="18"/>
      <c r="E371" s="18"/>
      <c r="F371" s="18"/>
      <c r="G371" s="18"/>
      <c r="H371" s="58"/>
      <c r="I371" s="21"/>
      <c r="J371" s="22"/>
    </row>
    <row r="372" spans="1:10" ht="13.2" x14ac:dyDescent="0.25">
      <c r="A372" s="17"/>
      <c r="B372" s="17"/>
      <c r="D372" s="18"/>
      <c r="E372" s="18"/>
      <c r="F372" s="18"/>
      <c r="G372" s="18"/>
      <c r="H372" s="58"/>
      <c r="I372" s="21"/>
      <c r="J372" s="22"/>
    </row>
    <row r="373" spans="1:10" ht="13.2" x14ac:dyDescent="0.25">
      <c r="A373" s="17"/>
      <c r="B373" s="17"/>
      <c r="D373" s="18"/>
      <c r="E373" s="18"/>
      <c r="F373" s="18"/>
      <c r="G373" s="18"/>
      <c r="H373" s="58"/>
      <c r="I373" s="21"/>
      <c r="J373" s="22"/>
    </row>
    <row r="374" spans="1:10" ht="13.2" x14ac:dyDescent="0.25">
      <c r="A374" s="17"/>
      <c r="B374" s="17"/>
      <c r="D374" s="18"/>
      <c r="E374" s="18"/>
      <c r="F374" s="18"/>
      <c r="G374" s="18"/>
      <c r="H374" s="58"/>
      <c r="I374" s="21"/>
      <c r="J374" s="22"/>
    </row>
    <row r="375" spans="1:10" ht="13.2" x14ac:dyDescent="0.25">
      <c r="A375" s="17"/>
      <c r="B375" s="17"/>
      <c r="D375" s="18"/>
      <c r="E375" s="18"/>
      <c r="F375" s="18"/>
      <c r="G375" s="18"/>
      <c r="H375" s="58"/>
      <c r="I375" s="21"/>
      <c r="J375" s="22"/>
    </row>
    <row r="376" spans="1:10" ht="13.2" x14ac:dyDescent="0.25">
      <c r="A376" s="17"/>
      <c r="B376" s="17"/>
      <c r="D376" s="18"/>
      <c r="E376" s="18"/>
      <c r="F376" s="18"/>
      <c r="G376" s="18"/>
      <c r="H376" s="58"/>
      <c r="I376" s="21"/>
      <c r="J376" s="22"/>
    </row>
    <row r="377" spans="1:10" ht="13.2" x14ac:dyDescent="0.25">
      <c r="A377" s="17"/>
      <c r="B377" s="17"/>
      <c r="D377" s="18"/>
      <c r="E377" s="18"/>
      <c r="F377" s="18"/>
      <c r="G377" s="18"/>
      <c r="H377" s="58"/>
      <c r="I377" s="21"/>
      <c r="J377" s="22"/>
    </row>
    <row r="378" spans="1:10" ht="13.2" x14ac:dyDescent="0.25">
      <c r="A378" s="17"/>
      <c r="B378" s="17"/>
      <c r="D378" s="18"/>
      <c r="E378" s="18"/>
      <c r="F378" s="18"/>
      <c r="G378" s="18"/>
      <c r="H378" s="58"/>
      <c r="I378" s="21"/>
      <c r="J378" s="22"/>
    </row>
    <row r="379" spans="1:10" ht="13.2" x14ac:dyDescent="0.25">
      <c r="A379" s="17"/>
      <c r="B379" s="17"/>
      <c r="D379" s="18"/>
      <c r="E379" s="18"/>
      <c r="F379" s="18"/>
      <c r="G379" s="18"/>
      <c r="H379" s="58"/>
      <c r="I379" s="21"/>
      <c r="J379" s="22"/>
    </row>
    <row r="380" spans="1:10" ht="13.2" x14ac:dyDescent="0.25">
      <c r="A380" s="17"/>
      <c r="B380" s="17"/>
      <c r="D380" s="18"/>
      <c r="E380" s="18"/>
      <c r="F380" s="18"/>
      <c r="G380" s="18"/>
      <c r="H380" s="58"/>
      <c r="I380" s="21"/>
      <c r="J380" s="22"/>
    </row>
    <row r="381" spans="1:10" ht="13.2" x14ac:dyDescent="0.25">
      <c r="A381" s="17"/>
      <c r="B381" s="17"/>
      <c r="D381" s="18"/>
      <c r="E381" s="18"/>
      <c r="F381" s="18"/>
      <c r="G381" s="18"/>
      <c r="H381" s="58"/>
      <c r="I381" s="21"/>
      <c r="J381" s="22"/>
    </row>
    <row r="382" spans="1:10" ht="13.2" x14ac:dyDescent="0.25">
      <c r="A382" s="17"/>
      <c r="B382" s="17"/>
      <c r="D382" s="18"/>
      <c r="E382" s="18"/>
      <c r="F382" s="18"/>
      <c r="G382" s="18"/>
      <c r="H382" s="58"/>
      <c r="I382" s="21"/>
      <c r="J382" s="22"/>
    </row>
    <row r="383" spans="1:10" ht="13.2" x14ac:dyDescent="0.25">
      <c r="A383" s="17"/>
      <c r="B383" s="17"/>
      <c r="D383" s="18"/>
      <c r="E383" s="18"/>
      <c r="F383" s="18"/>
      <c r="G383" s="18"/>
      <c r="H383" s="58"/>
      <c r="I383" s="21"/>
      <c r="J383" s="22"/>
    </row>
    <row r="384" spans="1:10" ht="13.2" x14ac:dyDescent="0.25">
      <c r="A384" s="17"/>
      <c r="B384" s="17"/>
      <c r="D384" s="18"/>
      <c r="E384" s="18"/>
      <c r="F384" s="18"/>
      <c r="G384" s="18"/>
      <c r="H384" s="58"/>
      <c r="I384" s="21"/>
      <c r="J384" s="22"/>
    </row>
    <row r="385" spans="1:10" ht="13.2" x14ac:dyDescent="0.25">
      <c r="A385" s="17"/>
      <c r="B385" s="17"/>
      <c r="D385" s="18"/>
      <c r="E385" s="18"/>
      <c r="F385" s="18"/>
      <c r="G385" s="18"/>
      <c r="H385" s="58"/>
      <c r="I385" s="21"/>
      <c r="J385" s="22"/>
    </row>
    <row r="386" spans="1:10" ht="13.2" x14ac:dyDescent="0.25">
      <c r="A386" s="17"/>
      <c r="B386" s="17"/>
      <c r="D386" s="18"/>
      <c r="E386" s="18"/>
      <c r="F386" s="18"/>
      <c r="G386" s="18"/>
      <c r="H386" s="58"/>
      <c r="I386" s="21"/>
      <c r="J386" s="22"/>
    </row>
    <row r="387" spans="1:10" ht="13.2" x14ac:dyDescent="0.25">
      <c r="A387" s="17"/>
      <c r="B387" s="17"/>
      <c r="D387" s="18"/>
      <c r="E387" s="18"/>
      <c r="F387" s="18"/>
      <c r="G387" s="18"/>
      <c r="H387" s="58"/>
      <c r="I387" s="21"/>
      <c r="J387" s="22"/>
    </row>
    <row r="388" spans="1:10" ht="13.2" x14ac:dyDescent="0.25">
      <c r="A388" s="17"/>
      <c r="B388" s="17"/>
      <c r="D388" s="18"/>
      <c r="E388" s="18"/>
      <c r="F388" s="18"/>
      <c r="G388" s="18"/>
      <c r="H388" s="58"/>
      <c r="I388" s="21"/>
      <c r="J388" s="22"/>
    </row>
    <row r="389" spans="1:10" ht="13.2" x14ac:dyDescent="0.25">
      <c r="A389" s="17"/>
      <c r="B389" s="17"/>
      <c r="D389" s="18"/>
      <c r="E389" s="18"/>
      <c r="F389" s="18"/>
      <c r="G389" s="18"/>
      <c r="H389" s="58"/>
      <c r="I389" s="21"/>
      <c r="J389" s="22"/>
    </row>
    <row r="390" spans="1:10" ht="13.2" x14ac:dyDescent="0.25">
      <c r="A390" s="17"/>
      <c r="B390" s="17"/>
      <c r="D390" s="18"/>
      <c r="E390" s="18"/>
      <c r="F390" s="18"/>
      <c r="G390" s="18"/>
      <c r="H390" s="58"/>
      <c r="I390" s="21"/>
      <c r="J390" s="22"/>
    </row>
    <row r="391" spans="1:10" ht="13.2" x14ac:dyDescent="0.25">
      <c r="A391" s="17"/>
      <c r="B391" s="17"/>
      <c r="D391" s="18"/>
      <c r="E391" s="18"/>
      <c r="F391" s="18"/>
      <c r="G391" s="18"/>
      <c r="H391" s="58"/>
      <c r="I391" s="21"/>
      <c r="J391" s="22"/>
    </row>
    <row r="392" spans="1:10" ht="13.2" x14ac:dyDescent="0.25">
      <c r="A392" s="17"/>
      <c r="B392" s="17"/>
      <c r="D392" s="18"/>
      <c r="E392" s="18"/>
      <c r="F392" s="18"/>
      <c r="G392" s="18"/>
      <c r="H392" s="58"/>
      <c r="I392" s="21"/>
      <c r="J392" s="22"/>
    </row>
    <row r="393" spans="1:10" ht="13.2" x14ac:dyDescent="0.25">
      <c r="A393" s="17"/>
      <c r="B393" s="17"/>
      <c r="D393" s="18"/>
      <c r="E393" s="18"/>
      <c r="F393" s="18"/>
      <c r="G393" s="18"/>
      <c r="H393" s="58"/>
      <c r="I393" s="21"/>
      <c r="J393" s="22"/>
    </row>
    <row r="394" spans="1:10" ht="13.2" x14ac:dyDescent="0.25">
      <c r="A394" s="17"/>
      <c r="B394" s="17"/>
      <c r="D394" s="18"/>
      <c r="E394" s="18"/>
      <c r="F394" s="18"/>
      <c r="G394" s="18"/>
      <c r="H394" s="58"/>
      <c r="I394" s="21"/>
      <c r="J394" s="22"/>
    </row>
    <row r="395" spans="1:10" ht="13.2" x14ac:dyDescent="0.25">
      <c r="A395" s="17"/>
      <c r="B395" s="17"/>
      <c r="D395" s="18"/>
      <c r="E395" s="18"/>
      <c r="F395" s="18"/>
      <c r="G395" s="18"/>
      <c r="H395" s="58"/>
      <c r="I395" s="21"/>
      <c r="J395" s="22"/>
    </row>
    <row r="396" spans="1:10" ht="13.2" x14ac:dyDescent="0.25">
      <c r="A396" s="17"/>
      <c r="B396" s="17"/>
      <c r="D396" s="18"/>
      <c r="E396" s="18"/>
      <c r="F396" s="18"/>
      <c r="G396" s="18"/>
      <c r="H396" s="58"/>
      <c r="I396" s="21"/>
      <c r="J396" s="22"/>
    </row>
    <row r="397" spans="1:10" ht="13.2" x14ac:dyDescent="0.25">
      <c r="A397" s="17"/>
      <c r="B397" s="17"/>
      <c r="D397" s="18"/>
      <c r="E397" s="18"/>
      <c r="F397" s="18"/>
      <c r="G397" s="18"/>
      <c r="H397" s="58"/>
      <c r="I397" s="21"/>
      <c r="J397" s="22"/>
    </row>
    <row r="398" spans="1:10" ht="13.2" x14ac:dyDescent="0.25">
      <c r="A398" s="17"/>
      <c r="B398" s="17"/>
      <c r="D398" s="18"/>
      <c r="E398" s="18"/>
      <c r="F398" s="18"/>
      <c r="G398" s="18"/>
      <c r="H398" s="58"/>
      <c r="I398" s="21"/>
      <c r="J398" s="22"/>
    </row>
    <row r="399" spans="1:10" ht="13.2" x14ac:dyDescent="0.25">
      <c r="A399" s="17"/>
      <c r="B399" s="17"/>
      <c r="D399" s="18"/>
      <c r="E399" s="18"/>
      <c r="F399" s="18"/>
      <c r="G399" s="18"/>
      <c r="H399" s="58"/>
      <c r="I399" s="21"/>
      <c r="J399" s="22"/>
    </row>
    <row r="400" spans="1:10" ht="13.2" x14ac:dyDescent="0.25">
      <c r="A400" s="17"/>
      <c r="B400" s="17"/>
      <c r="D400" s="18"/>
      <c r="E400" s="18"/>
      <c r="F400" s="18"/>
      <c r="G400" s="18"/>
      <c r="H400" s="58"/>
      <c r="I400" s="21"/>
      <c r="J400" s="22"/>
    </row>
    <row r="401" spans="1:10" ht="13.2" x14ac:dyDescent="0.25">
      <c r="A401" s="17"/>
      <c r="B401" s="17"/>
      <c r="D401" s="18"/>
      <c r="E401" s="18"/>
      <c r="F401" s="18"/>
      <c r="G401" s="18"/>
      <c r="H401" s="58"/>
      <c r="I401" s="21"/>
      <c r="J401" s="22"/>
    </row>
    <row r="402" spans="1:10" ht="13.2" x14ac:dyDescent="0.25">
      <c r="A402" s="17"/>
      <c r="B402" s="17"/>
      <c r="D402" s="18"/>
      <c r="E402" s="18"/>
      <c r="F402" s="18"/>
      <c r="G402" s="18"/>
      <c r="H402" s="58"/>
      <c r="I402" s="21"/>
      <c r="J402" s="22"/>
    </row>
    <row r="403" spans="1:10" ht="13.2" x14ac:dyDescent="0.25">
      <c r="A403" s="17"/>
      <c r="B403" s="17"/>
      <c r="D403" s="18"/>
      <c r="E403" s="18"/>
      <c r="F403" s="18"/>
      <c r="G403" s="18"/>
      <c r="H403" s="58"/>
      <c r="I403" s="21"/>
      <c r="J403" s="22"/>
    </row>
    <row r="404" spans="1:10" ht="13.2" x14ac:dyDescent="0.25">
      <c r="A404" s="17"/>
      <c r="B404" s="17"/>
      <c r="D404" s="18"/>
      <c r="E404" s="18"/>
      <c r="F404" s="18"/>
      <c r="G404" s="18"/>
      <c r="H404" s="58"/>
      <c r="I404" s="21"/>
      <c r="J404" s="22"/>
    </row>
    <row r="405" spans="1:10" ht="13.2" x14ac:dyDescent="0.25">
      <c r="A405" s="17"/>
      <c r="B405" s="17"/>
      <c r="D405" s="18"/>
      <c r="E405" s="18"/>
      <c r="F405" s="18"/>
      <c r="G405" s="18"/>
      <c r="H405" s="58"/>
      <c r="I405" s="21"/>
      <c r="J405" s="22"/>
    </row>
    <row r="406" spans="1:10" ht="13.2" x14ac:dyDescent="0.25">
      <c r="A406" s="17"/>
      <c r="B406" s="17"/>
      <c r="D406" s="18"/>
      <c r="E406" s="18"/>
      <c r="F406" s="18"/>
      <c r="G406" s="18"/>
      <c r="H406" s="58"/>
      <c r="I406" s="21"/>
      <c r="J406" s="22"/>
    </row>
    <row r="407" spans="1:10" ht="13.2" x14ac:dyDescent="0.25">
      <c r="A407" s="17"/>
      <c r="B407" s="17"/>
      <c r="D407" s="18"/>
      <c r="E407" s="18"/>
      <c r="F407" s="18"/>
      <c r="G407" s="18"/>
      <c r="H407" s="58"/>
      <c r="I407" s="21"/>
      <c r="J407" s="22"/>
    </row>
    <row r="408" spans="1:10" ht="13.2" x14ac:dyDescent="0.25">
      <c r="A408" s="17"/>
      <c r="B408" s="17"/>
      <c r="D408" s="18"/>
      <c r="E408" s="18"/>
      <c r="F408" s="18"/>
      <c r="G408" s="18"/>
      <c r="H408" s="58"/>
      <c r="I408" s="21"/>
      <c r="J408" s="22"/>
    </row>
    <row r="409" spans="1:10" ht="13.2" x14ac:dyDescent="0.25">
      <c r="A409" s="17"/>
      <c r="B409" s="17"/>
      <c r="D409" s="18"/>
      <c r="E409" s="18"/>
      <c r="F409" s="18"/>
      <c r="G409" s="18"/>
      <c r="H409" s="58"/>
      <c r="I409" s="21"/>
      <c r="J409" s="22"/>
    </row>
    <row r="410" spans="1:10" ht="13.2" x14ac:dyDescent="0.25">
      <c r="A410" s="17"/>
      <c r="B410" s="17"/>
      <c r="D410" s="18"/>
      <c r="E410" s="18"/>
      <c r="F410" s="18"/>
      <c r="G410" s="18"/>
      <c r="H410" s="58"/>
      <c r="I410" s="21"/>
      <c r="J410" s="22"/>
    </row>
    <row r="411" spans="1:10" ht="13.2" x14ac:dyDescent="0.25">
      <c r="A411" s="17"/>
      <c r="B411" s="17"/>
      <c r="D411" s="18"/>
      <c r="E411" s="18"/>
      <c r="F411" s="18"/>
      <c r="G411" s="18"/>
      <c r="H411" s="58"/>
      <c r="I411" s="21"/>
      <c r="J411" s="22"/>
    </row>
    <row r="412" spans="1:10" ht="13.2" x14ac:dyDescent="0.25">
      <c r="A412" s="17"/>
      <c r="B412" s="17"/>
      <c r="D412" s="18"/>
      <c r="E412" s="18"/>
      <c r="F412" s="18"/>
      <c r="G412" s="18"/>
      <c r="H412" s="58"/>
      <c r="I412" s="21"/>
      <c r="J412" s="22"/>
    </row>
    <row r="413" spans="1:10" ht="13.2" x14ac:dyDescent="0.25">
      <c r="A413" s="17"/>
      <c r="B413" s="17"/>
      <c r="D413" s="18"/>
      <c r="E413" s="18"/>
      <c r="F413" s="18"/>
      <c r="G413" s="18"/>
      <c r="H413" s="58"/>
      <c r="I413" s="21"/>
      <c r="J413" s="22"/>
    </row>
    <row r="414" spans="1:10" ht="13.2" x14ac:dyDescent="0.25">
      <c r="A414" s="17"/>
      <c r="B414" s="17"/>
      <c r="D414" s="18"/>
      <c r="E414" s="18"/>
      <c r="F414" s="18"/>
      <c r="G414" s="18"/>
      <c r="H414" s="58"/>
      <c r="I414" s="21"/>
      <c r="J414" s="22"/>
    </row>
    <row r="415" spans="1:10" ht="13.2" x14ac:dyDescent="0.25">
      <c r="A415" s="17"/>
      <c r="B415" s="17"/>
      <c r="D415" s="18"/>
      <c r="E415" s="18"/>
      <c r="F415" s="18"/>
      <c r="G415" s="18"/>
      <c r="H415" s="58"/>
      <c r="I415" s="21"/>
      <c r="J415" s="22"/>
    </row>
    <row r="416" spans="1:10" ht="13.2" x14ac:dyDescent="0.25">
      <c r="A416" s="17"/>
      <c r="B416" s="17"/>
      <c r="D416" s="18"/>
      <c r="E416" s="18"/>
      <c r="F416" s="18"/>
      <c r="G416" s="18"/>
      <c r="H416" s="58"/>
      <c r="I416" s="21"/>
      <c r="J416" s="22"/>
    </row>
    <row r="417" spans="1:10" ht="13.2" x14ac:dyDescent="0.25">
      <c r="A417" s="17"/>
      <c r="B417" s="17"/>
      <c r="D417" s="18"/>
      <c r="E417" s="18"/>
      <c r="F417" s="18"/>
      <c r="G417" s="18"/>
      <c r="H417" s="58"/>
      <c r="I417" s="21"/>
      <c r="J417" s="22"/>
    </row>
    <row r="418" spans="1:10" ht="13.2" x14ac:dyDescent="0.25">
      <c r="A418" s="17"/>
      <c r="B418" s="17"/>
      <c r="D418" s="18"/>
      <c r="E418" s="18"/>
      <c r="F418" s="18"/>
      <c r="G418" s="18"/>
      <c r="H418" s="58"/>
      <c r="I418" s="21"/>
      <c r="J418" s="22"/>
    </row>
    <row r="419" spans="1:10" ht="13.2" x14ac:dyDescent="0.25">
      <c r="A419" s="17"/>
      <c r="B419" s="17"/>
      <c r="D419" s="18"/>
      <c r="E419" s="18"/>
      <c r="F419" s="18"/>
      <c r="G419" s="18"/>
      <c r="H419" s="58"/>
      <c r="I419" s="21"/>
      <c r="J419" s="22"/>
    </row>
    <row r="420" spans="1:10" ht="13.2" x14ac:dyDescent="0.25">
      <c r="A420" s="17"/>
      <c r="B420" s="17"/>
      <c r="D420" s="18"/>
      <c r="E420" s="18"/>
      <c r="F420" s="18"/>
      <c r="G420" s="18"/>
      <c r="H420" s="58"/>
      <c r="I420" s="21"/>
      <c r="J420" s="22"/>
    </row>
    <row r="421" spans="1:10" ht="13.2" x14ac:dyDescent="0.25">
      <c r="A421" s="17"/>
      <c r="B421" s="17"/>
      <c r="D421" s="18"/>
      <c r="E421" s="18"/>
      <c r="F421" s="18"/>
      <c r="G421" s="18"/>
      <c r="H421" s="58"/>
      <c r="I421" s="21"/>
      <c r="J421" s="22"/>
    </row>
    <row r="422" spans="1:10" ht="13.2" x14ac:dyDescent="0.25">
      <c r="A422" s="17"/>
      <c r="B422" s="17"/>
      <c r="D422" s="18"/>
      <c r="E422" s="18"/>
      <c r="F422" s="18"/>
      <c r="G422" s="18"/>
      <c r="H422" s="58"/>
      <c r="I422" s="21"/>
      <c r="J422" s="22"/>
    </row>
    <row r="423" spans="1:10" ht="13.2" x14ac:dyDescent="0.25">
      <c r="A423" s="17"/>
      <c r="B423" s="17"/>
      <c r="D423" s="18"/>
      <c r="E423" s="18"/>
      <c r="F423" s="18"/>
      <c r="G423" s="18"/>
      <c r="H423" s="58"/>
      <c r="I423" s="21"/>
      <c r="J423" s="22"/>
    </row>
    <row r="424" spans="1:10" ht="13.2" x14ac:dyDescent="0.25">
      <c r="A424" s="17"/>
      <c r="B424" s="17"/>
      <c r="D424" s="18"/>
      <c r="E424" s="18"/>
      <c r="F424" s="18"/>
      <c r="G424" s="18"/>
      <c r="H424" s="58"/>
      <c r="I424" s="21"/>
      <c r="J424" s="22"/>
    </row>
    <row r="425" spans="1:10" ht="13.2" x14ac:dyDescent="0.25">
      <c r="A425" s="17"/>
      <c r="B425" s="17"/>
      <c r="D425" s="18"/>
      <c r="E425" s="18"/>
      <c r="F425" s="18"/>
      <c r="G425" s="18"/>
      <c r="H425" s="58"/>
      <c r="I425" s="21"/>
      <c r="J425" s="22"/>
    </row>
    <row r="426" spans="1:10" ht="13.2" x14ac:dyDescent="0.25">
      <c r="A426" s="17"/>
      <c r="B426" s="17"/>
      <c r="D426" s="18"/>
      <c r="E426" s="18"/>
      <c r="F426" s="18"/>
      <c r="G426" s="18"/>
      <c r="H426" s="58"/>
      <c r="I426" s="21"/>
      <c r="J426" s="22"/>
    </row>
    <row r="427" spans="1:10" ht="13.2" x14ac:dyDescent="0.25">
      <c r="A427" s="17"/>
      <c r="B427" s="17"/>
      <c r="D427" s="18"/>
      <c r="E427" s="18"/>
      <c r="F427" s="18"/>
      <c r="G427" s="18"/>
      <c r="H427" s="58"/>
      <c r="I427" s="21"/>
      <c r="J427" s="22"/>
    </row>
    <row r="428" spans="1:10" ht="13.2" x14ac:dyDescent="0.25">
      <c r="A428" s="17"/>
      <c r="B428" s="17"/>
      <c r="D428" s="18"/>
      <c r="E428" s="18"/>
      <c r="F428" s="18"/>
      <c r="G428" s="18"/>
      <c r="H428" s="58"/>
      <c r="I428" s="21"/>
      <c r="J428" s="22"/>
    </row>
    <row r="429" spans="1:10" ht="13.2" x14ac:dyDescent="0.25">
      <c r="A429" s="17"/>
      <c r="B429" s="17"/>
      <c r="D429" s="18"/>
      <c r="E429" s="18"/>
      <c r="F429" s="18"/>
      <c r="G429" s="18"/>
      <c r="H429" s="58"/>
      <c r="I429" s="21"/>
      <c r="J429" s="22"/>
    </row>
    <row r="430" spans="1:10" ht="13.2" x14ac:dyDescent="0.25">
      <c r="A430" s="17"/>
      <c r="B430" s="17"/>
      <c r="D430" s="18"/>
      <c r="E430" s="18"/>
      <c r="F430" s="18"/>
      <c r="G430" s="18"/>
      <c r="H430" s="58"/>
      <c r="I430" s="21"/>
      <c r="J430" s="22"/>
    </row>
    <row r="431" spans="1:10" ht="13.2" x14ac:dyDescent="0.25">
      <c r="A431" s="17"/>
      <c r="B431" s="17"/>
      <c r="D431" s="18"/>
      <c r="E431" s="18"/>
      <c r="F431" s="18"/>
      <c r="G431" s="18"/>
      <c r="H431" s="58"/>
      <c r="I431" s="21"/>
      <c r="J431" s="22"/>
    </row>
    <row r="432" spans="1:10" ht="13.2" x14ac:dyDescent="0.25">
      <c r="A432" s="17"/>
      <c r="B432" s="17"/>
      <c r="D432" s="18"/>
      <c r="E432" s="18"/>
      <c r="F432" s="18"/>
      <c r="G432" s="18"/>
      <c r="H432" s="58"/>
      <c r="I432" s="21"/>
      <c r="J432" s="22"/>
    </row>
    <row r="433" spans="1:10" ht="13.2" x14ac:dyDescent="0.25">
      <c r="A433" s="17"/>
      <c r="B433" s="17"/>
      <c r="D433" s="18"/>
      <c r="E433" s="18"/>
      <c r="F433" s="18"/>
      <c r="G433" s="18"/>
      <c r="H433" s="58"/>
      <c r="I433" s="21"/>
      <c r="J433" s="22"/>
    </row>
    <row r="434" spans="1:10" ht="13.2" x14ac:dyDescent="0.25">
      <c r="A434" s="17"/>
      <c r="B434" s="17"/>
      <c r="D434" s="18"/>
      <c r="E434" s="18"/>
      <c r="F434" s="18"/>
      <c r="G434" s="18"/>
      <c r="H434" s="58"/>
      <c r="I434" s="21"/>
      <c r="J434" s="22"/>
    </row>
    <row r="435" spans="1:10" ht="13.2" x14ac:dyDescent="0.25">
      <c r="A435" s="17"/>
      <c r="B435" s="17"/>
      <c r="D435" s="18"/>
      <c r="E435" s="18"/>
      <c r="F435" s="18"/>
      <c r="G435" s="18"/>
      <c r="H435" s="58"/>
      <c r="I435" s="21"/>
      <c r="J435" s="22"/>
    </row>
    <row r="436" spans="1:10" ht="13.2" x14ac:dyDescent="0.25">
      <c r="A436" s="17"/>
      <c r="B436" s="17"/>
      <c r="D436" s="18"/>
      <c r="E436" s="18"/>
      <c r="F436" s="18"/>
      <c r="G436" s="18"/>
      <c r="H436" s="58"/>
      <c r="I436" s="21"/>
      <c r="J436" s="22"/>
    </row>
    <row r="437" spans="1:10" ht="13.2" x14ac:dyDescent="0.25">
      <c r="A437" s="17"/>
      <c r="B437" s="17"/>
      <c r="D437" s="18"/>
      <c r="E437" s="18"/>
      <c r="F437" s="18"/>
      <c r="G437" s="18"/>
      <c r="H437" s="58"/>
      <c r="I437" s="21"/>
      <c r="J437" s="22"/>
    </row>
    <row r="438" spans="1:10" ht="13.2" x14ac:dyDescent="0.25">
      <c r="A438" s="17"/>
      <c r="B438" s="17"/>
      <c r="D438" s="18"/>
      <c r="E438" s="18"/>
      <c r="F438" s="18"/>
      <c r="G438" s="18"/>
      <c r="H438" s="58"/>
      <c r="I438" s="21"/>
      <c r="J438" s="22"/>
    </row>
    <row r="439" spans="1:10" ht="13.2" x14ac:dyDescent="0.25">
      <c r="A439" s="17"/>
      <c r="B439" s="17"/>
      <c r="D439" s="18"/>
      <c r="E439" s="18"/>
      <c r="F439" s="18"/>
      <c r="G439" s="18"/>
      <c r="H439" s="58"/>
      <c r="I439" s="21"/>
      <c r="J439" s="22"/>
    </row>
    <row r="440" spans="1:10" ht="13.2" x14ac:dyDescent="0.25">
      <c r="A440" s="17"/>
      <c r="B440" s="17"/>
      <c r="D440" s="18"/>
      <c r="E440" s="18"/>
      <c r="F440" s="18"/>
      <c r="G440" s="18"/>
      <c r="H440" s="58"/>
      <c r="I440" s="21"/>
      <c r="J440" s="22"/>
    </row>
    <row r="441" spans="1:10" ht="13.2" x14ac:dyDescent="0.25">
      <c r="A441" s="17"/>
      <c r="B441" s="17"/>
      <c r="D441" s="18"/>
      <c r="E441" s="18"/>
      <c r="F441" s="18"/>
      <c r="G441" s="18"/>
      <c r="H441" s="58"/>
      <c r="I441" s="21"/>
      <c r="J441" s="22"/>
    </row>
    <row r="442" spans="1:10" ht="13.2" x14ac:dyDescent="0.25">
      <c r="A442" s="17"/>
      <c r="B442" s="17"/>
      <c r="D442" s="18"/>
      <c r="E442" s="18"/>
      <c r="F442" s="18"/>
      <c r="G442" s="18"/>
      <c r="H442" s="58"/>
      <c r="I442" s="21"/>
      <c r="J442" s="22"/>
    </row>
    <row r="443" spans="1:10" ht="13.2" x14ac:dyDescent="0.25">
      <c r="A443" s="17"/>
      <c r="B443" s="17"/>
      <c r="D443" s="18"/>
      <c r="E443" s="18"/>
      <c r="F443" s="18"/>
      <c r="G443" s="18"/>
      <c r="H443" s="58"/>
      <c r="I443" s="21"/>
      <c r="J443" s="22"/>
    </row>
    <row r="444" spans="1:10" ht="13.2" x14ac:dyDescent="0.25">
      <c r="A444" s="17"/>
      <c r="B444" s="17"/>
      <c r="D444" s="18"/>
      <c r="E444" s="18"/>
      <c r="F444" s="18"/>
      <c r="G444" s="18"/>
      <c r="H444" s="58"/>
      <c r="I444" s="21"/>
      <c r="J444" s="22"/>
    </row>
    <row r="445" spans="1:10" ht="13.2" x14ac:dyDescent="0.25">
      <c r="A445" s="17"/>
      <c r="B445" s="17"/>
      <c r="D445" s="18"/>
      <c r="E445" s="18"/>
      <c r="F445" s="18"/>
      <c r="G445" s="18"/>
      <c r="H445" s="58"/>
      <c r="I445" s="21"/>
      <c r="J445" s="22"/>
    </row>
    <row r="446" spans="1:10" ht="13.2" x14ac:dyDescent="0.25">
      <c r="A446" s="17"/>
      <c r="B446" s="17"/>
      <c r="D446" s="18"/>
      <c r="E446" s="18"/>
      <c r="F446" s="18"/>
      <c r="G446" s="18"/>
      <c r="H446" s="58"/>
      <c r="I446" s="21"/>
      <c r="J446" s="22"/>
    </row>
    <row r="447" spans="1:10" ht="13.2" x14ac:dyDescent="0.25">
      <c r="A447" s="17"/>
      <c r="B447" s="17"/>
      <c r="D447" s="18"/>
      <c r="E447" s="18"/>
      <c r="F447" s="18"/>
      <c r="G447" s="18"/>
      <c r="H447" s="58"/>
      <c r="I447" s="21"/>
      <c r="J447" s="22"/>
    </row>
    <row r="448" spans="1:10" ht="13.2" x14ac:dyDescent="0.25">
      <c r="A448" s="17"/>
      <c r="B448" s="17"/>
      <c r="D448" s="18"/>
      <c r="E448" s="18"/>
      <c r="F448" s="18"/>
      <c r="G448" s="18"/>
      <c r="H448" s="58"/>
      <c r="I448" s="21"/>
      <c r="J448" s="22"/>
    </row>
    <row r="449" spans="1:10" ht="13.2" x14ac:dyDescent="0.25">
      <c r="A449" s="17"/>
      <c r="B449" s="17"/>
      <c r="D449" s="18"/>
      <c r="E449" s="18"/>
      <c r="F449" s="18"/>
      <c r="G449" s="18"/>
      <c r="H449" s="58"/>
      <c r="I449" s="21"/>
      <c r="J449" s="22"/>
    </row>
    <row r="450" spans="1:10" ht="13.2" x14ac:dyDescent="0.25">
      <c r="A450" s="17"/>
      <c r="B450" s="17"/>
      <c r="D450" s="18"/>
      <c r="E450" s="18"/>
      <c r="F450" s="18"/>
      <c r="G450" s="18"/>
      <c r="H450" s="58"/>
      <c r="I450" s="21"/>
      <c r="J450" s="22"/>
    </row>
    <row r="451" spans="1:10" ht="13.2" x14ac:dyDescent="0.25">
      <c r="A451" s="17"/>
      <c r="B451" s="17"/>
      <c r="D451" s="18"/>
      <c r="E451" s="18"/>
      <c r="F451" s="18"/>
      <c r="G451" s="18"/>
      <c r="H451" s="58"/>
      <c r="I451" s="21"/>
      <c r="J451" s="22"/>
    </row>
    <row r="452" spans="1:10" ht="13.2" x14ac:dyDescent="0.25">
      <c r="A452" s="17"/>
      <c r="B452" s="17"/>
      <c r="D452" s="18"/>
      <c r="E452" s="18"/>
      <c r="F452" s="18"/>
      <c r="G452" s="18"/>
      <c r="H452" s="58"/>
      <c r="I452" s="21"/>
      <c r="J452" s="22"/>
    </row>
    <row r="453" spans="1:10" ht="13.2" x14ac:dyDescent="0.25">
      <c r="A453" s="17"/>
      <c r="B453" s="17"/>
      <c r="D453" s="18"/>
      <c r="E453" s="18"/>
      <c r="F453" s="18"/>
      <c r="G453" s="18"/>
      <c r="H453" s="58"/>
      <c r="I453" s="21"/>
      <c r="J453" s="22"/>
    </row>
    <row r="454" spans="1:10" ht="13.2" x14ac:dyDescent="0.25">
      <c r="A454" s="17"/>
      <c r="B454" s="17"/>
      <c r="D454" s="18"/>
      <c r="E454" s="18"/>
      <c r="F454" s="18"/>
      <c r="G454" s="18"/>
      <c r="H454" s="58"/>
      <c r="I454" s="21"/>
      <c r="J454" s="22"/>
    </row>
    <row r="455" spans="1:10" ht="13.2" x14ac:dyDescent="0.25">
      <c r="A455" s="17"/>
      <c r="B455" s="17"/>
      <c r="D455" s="18"/>
      <c r="E455" s="18"/>
      <c r="F455" s="18"/>
      <c r="G455" s="18"/>
      <c r="H455" s="58"/>
      <c r="I455" s="21"/>
      <c r="J455" s="22"/>
    </row>
    <row r="456" spans="1:10" ht="13.2" x14ac:dyDescent="0.25">
      <c r="A456" s="17"/>
      <c r="B456" s="17"/>
      <c r="D456" s="18"/>
      <c r="E456" s="18"/>
      <c r="F456" s="18"/>
      <c r="G456" s="18"/>
      <c r="H456" s="58"/>
      <c r="I456" s="21"/>
      <c r="J456" s="22"/>
    </row>
    <row r="457" spans="1:10" ht="13.2" x14ac:dyDescent="0.25">
      <c r="A457" s="17"/>
      <c r="B457" s="17"/>
      <c r="D457" s="18"/>
      <c r="E457" s="18"/>
      <c r="F457" s="18"/>
      <c r="G457" s="18"/>
      <c r="H457" s="58"/>
      <c r="I457" s="21"/>
      <c r="J457" s="22"/>
    </row>
    <row r="458" spans="1:10" ht="13.2" x14ac:dyDescent="0.25">
      <c r="A458" s="17"/>
      <c r="B458" s="17"/>
      <c r="D458" s="18"/>
      <c r="E458" s="18"/>
      <c r="F458" s="18"/>
      <c r="G458" s="18"/>
      <c r="H458" s="58"/>
      <c r="I458" s="21"/>
      <c r="J458" s="22"/>
    </row>
    <row r="459" spans="1:10" ht="13.2" x14ac:dyDescent="0.25">
      <c r="A459" s="17"/>
      <c r="B459" s="17"/>
      <c r="D459" s="18"/>
      <c r="E459" s="18"/>
      <c r="F459" s="18"/>
      <c r="G459" s="18"/>
      <c r="H459" s="58"/>
      <c r="I459" s="21"/>
      <c r="J459" s="22"/>
    </row>
    <row r="460" spans="1:10" ht="13.2" x14ac:dyDescent="0.25">
      <c r="A460" s="17"/>
      <c r="B460" s="17"/>
      <c r="D460" s="18"/>
      <c r="E460" s="18"/>
      <c r="F460" s="18"/>
      <c r="G460" s="18"/>
      <c r="H460" s="58"/>
      <c r="I460" s="21"/>
      <c r="J460" s="22"/>
    </row>
    <row r="461" spans="1:10" ht="13.2" x14ac:dyDescent="0.25">
      <c r="A461" s="17"/>
      <c r="B461" s="17"/>
      <c r="D461" s="18"/>
      <c r="E461" s="18"/>
      <c r="F461" s="18"/>
      <c r="G461" s="18"/>
      <c r="H461" s="58"/>
      <c r="I461" s="21"/>
      <c r="J461" s="22"/>
    </row>
    <row r="462" spans="1:10" ht="13.2" x14ac:dyDescent="0.25">
      <c r="A462" s="17"/>
      <c r="B462" s="17"/>
      <c r="D462" s="18"/>
      <c r="E462" s="18"/>
      <c r="F462" s="18"/>
      <c r="G462" s="18"/>
      <c r="H462" s="58"/>
      <c r="I462" s="21"/>
      <c r="J462" s="22"/>
    </row>
    <row r="463" spans="1:10" ht="13.2" x14ac:dyDescent="0.25">
      <c r="A463" s="17"/>
      <c r="B463" s="17"/>
      <c r="D463" s="18"/>
      <c r="E463" s="18"/>
      <c r="F463" s="18"/>
      <c r="G463" s="18"/>
      <c r="H463" s="58"/>
      <c r="I463" s="21"/>
      <c r="J463" s="22"/>
    </row>
    <row r="464" spans="1:10" ht="13.2" x14ac:dyDescent="0.25">
      <c r="A464" s="17"/>
      <c r="B464" s="17"/>
      <c r="D464" s="18"/>
      <c r="E464" s="18"/>
      <c r="F464" s="18"/>
      <c r="G464" s="18"/>
      <c r="H464" s="58"/>
      <c r="I464" s="21"/>
      <c r="J464" s="22"/>
    </row>
    <row r="465" spans="1:10" ht="13.2" x14ac:dyDescent="0.25">
      <c r="A465" s="17"/>
      <c r="B465" s="17"/>
      <c r="D465" s="18"/>
      <c r="E465" s="18"/>
      <c r="F465" s="18"/>
      <c r="G465" s="18"/>
      <c r="H465" s="58"/>
      <c r="I465" s="21"/>
      <c r="J465" s="22"/>
    </row>
    <row r="466" spans="1:10" ht="13.2" x14ac:dyDescent="0.25">
      <c r="A466" s="17"/>
      <c r="B466" s="17"/>
      <c r="D466" s="18"/>
      <c r="E466" s="18"/>
      <c r="F466" s="18"/>
      <c r="G466" s="18"/>
      <c r="H466" s="58"/>
      <c r="I466" s="21"/>
      <c r="J466" s="22"/>
    </row>
    <row r="467" spans="1:10" ht="13.2" x14ac:dyDescent="0.25">
      <c r="A467" s="17"/>
      <c r="B467" s="17"/>
      <c r="D467" s="18"/>
      <c r="E467" s="18"/>
      <c r="F467" s="18"/>
      <c r="G467" s="18"/>
      <c r="H467" s="58"/>
      <c r="I467" s="21"/>
      <c r="J467" s="22"/>
    </row>
    <row r="468" spans="1:10" ht="13.2" x14ac:dyDescent="0.25">
      <c r="A468" s="17"/>
      <c r="B468" s="17"/>
      <c r="D468" s="18"/>
      <c r="E468" s="18"/>
      <c r="F468" s="18"/>
      <c r="G468" s="18"/>
      <c r="H468" s="58"/>
      <c r="I468" s="21"/>
      <c r="J468" s="22"/>
    </row>
    <row r="469" spans="1:10" ht="13.2" x14ac:dyDescent="0.25">
      <c r="A469" s="17"/>
      <c r="B469" s="17"/>
      <c r="D469" s="18"/>
      <c r="E469" s="18"/>
      <c r="F469" s="18"/>
      <c r="G469" s="18"/>
      <c r="H469" s="58"/>
      <c r="I469" s="21"/>
      <c r="J469" s="22"/>
    </row>
    <row r="470" spans="1:10" ht="13.2" x14ac:dyDescent="0.25">
      <c r="A470" s="17"/>
      <c r="B470" s="17"/>
      <c r="D470" s="18"/>
      <c r="E470" s="18"/>
      <c r="F470" s="18"/>
      <c r="G470" s="18"/>
      <c r="H470" s="58"/>
      <c r="I470" s="21"/>
      <c r="J470" s="22"/>
    </row>
    <row r="471" spans="1:10" ht="13.2" x14ac:dyDescent="0.25">
      <c r="A471" s="17"/>
      <c r="B471" s="17"/>
      <c r="D471" s="18"/>
      <c r="E471" s="18"/>
      <c r="F471" s="18"/>
      <c r="G471" s="18"/>
      <c r="H471" s="58"/>
      <c r="I471" s="21"/>
      <c r="J471" s="22"/>
    </row>
    <row r="472" spans="1:10" ht="13.2" x14ac:dyDescent="0.25">
      <c r="A472" s="17"/>
      <c r="B472" s="17"/>
      <c r="D472" s="18"/>
      <c r="E472" s="18"/>
      <c r="F472" s="18"/>
      <c r="G472" s="18"/>
      <c r="H472" s="58"/>
      <c r="I472" s="21"/>
      <c r="J472" s="22"/>
    </row>
    <row r="473" spans="1:10" ht="13.2" x14ac:dyDescent="0.25">
      <c r="A473" s="17"/>
      <c r="B473" s="17"/>
      <c r="D473" s="18"/>
      <c r="E473" s="18"/>
      <c r="F473" s="18"/>
      <c r="G473" s="18"/>
      <c r="H473" s="58"/>
      <c r="I473" s="21"/>
      <c r="J473" s="22"/>
    </row>
    <row r="474" spans="1:10" ht="13.2" x14ac:dyDescent="0.25">
      <c r="A474" s="17"/>
      <c r="B474" s="17"/>
      <c r="D474" s="18"/>
      <c r="E474" s="18"/>
      <c r="F474" s="18"/>
      <c r="G474" s="18"/>
      <c r="H474" s="58"/>
      <c r="I474" s="21"/>
      <c r="J474" s="22"/>
    </row>
    <row r="475" spans="1:10" ht="13.2" x14ac:dyDescent="0.25">
      <c r="A475" s="17"/>
      <c r="B475" s="17"/>
      <c r="D475" s="18"/>
      <c r="E475" s="18"/>
      <c r="F475" s="18"/>
      <c r="G475" s="18"/>
      <c r="H475" s="58"/>
      <c r="I475" s="21"/>
      <c r="J475" s="22"/>
    </row>
    <row r="476" spans="1:10" ht="13.2" x14ac:dyDescent="0.25">
      <c r="A476" s="17"/>
      <c r="B476" s="17"/>
      <c r="D476" s="18"/>
      <c r="E476" s="18"/>
      <c r="F476" s="18"/>
      <c r="G476" s="18"/>
      <c r="H476" s="58"/>
      <c r="I476" s="21"/>
      <c r="J476" s="22"/>
    </row>
    <row r="477" spans="1:10" ht="13.2" x14ac:dyDescent="0.25">
      <c r="A477" s="17"/>
      <c r="B477" s="17"/>
      <c r="D477" s="18"/>
      <c r="E477" s="18"/>
      <c r="F477" s="18"/>
      <c r="G477" s="18"/>
      <c r="H477" s="58"/>
      <c r="I477" s="21"/>
      <c r="J477" s="22"/>
    </row>
    <row r="478" spans="1:10" ht="13.2" x14ac:dyDescent="0.25">
      <c r="A478" s="17"/>
      <c r="B478" s="17"/>
      <c r="D478" s="18"/>
      <c r="E478" s="18"/>
      <c r="F478" s="18"/>
      <c r="G478" s="18"/>
      <c r="H478" s="58"/>
      <c r="I478" s="21"/>
      <c r="J478" s="22"/>
    </row>
    <row r="479" spans="1:10" ht="13.2" x14ac:dyDescent="0.25">
      <c r="A479" s="17"/>
      <c r="B479" s="17"/>
      <c r="D479" s="18"/>
      <c r="E479" s="18"/>
      <c r="F479" s="18"/>
      <c r="G479" s="18"/>
      <c r="H479" s="58"/>
      <c r="I479" s="21"/>
      <c r="J479" s="22"/>
    </row>
    <row r="480" spans="1:10" ht="13.2" x14ac:dyDescent="0.25">
      <c r="A480" s="17"/>
      <c r="B480" s="17"/>
      <c r="D480" s="18"/>
      <c r="E480" s="18"/>
      <c r="F480" s="18"/>
      <c r="G480" s="18"/>
      <c r="H480" s="58"/>
      <c r="I480" s="21"/>
      <c r="J480" s="22"/>
    </row>
    <row r="481" spans="1:10" ht="13.2" x14ac:dyDescent="0.25">
      <c r="A481" s="17"/>
      <c r="B481" s="17"/>
      <c r="D481" s="18"/>
      <c r="E481" s="18"/>
      <c r="F481" s="18"/>
      <c r="G481" s="18"/>
      <c r="H481" s="58"/>
      <c r="I481" s="21"/>
      <c r="J481" s="22"/>
    </row>
    <row r="482" spans="1:10" ht="13.2" x14ac:dyDescent="0.25">
      <c r="A482" s="17"/>
      <c r="B482" s="17"/>
      <c r="D482" s="18"/>
      <c r="E482" s="18"/>
      <c r="F482" s="18"/>
      <c r="G482" s="18"/>
      <c r="H482" s="58"/>
      <c r="I482" s="21"/>
      <c r="J482" s="22"/>
    </row>
    <row r="483" spans="1:10" ht="13.2" x14ac:dyDescent="0.25">
      <c r="A483" s="17"/>
      <c r="B483" s="17"/>
      <c r="D483" s="18"/>
      <c r="E483" s="18"/>
      <c r="F483" s="18"/>
      <c r="G483" s="18"/>
      <c r="H483" s="58"/>
      <c r="I483" s="21"/>
      <c r="J483" s="22"/>
    </row>
    <row r="484" spans="1:10" ht="13.2" x14ac:dyDescent="0.25">
      <c r="A484" s="17"/>
      <c r="B484" s="17"/>
      <c r="D484" s="18"/>
      <c r="E484" s="18"/>
      <c r="F484" s="18"/>
      <c r="G484" s="18"/>
      <c r="H484" s="58"/>
      <c r="I484" s="21"/>
      <c r="J484" s="22"/>
    </row>
    <row r="485" spans="1:10" ht="13.2" x14ac:dyDescent="0.25">
      <c r="A485" s="17"/>
      <c r="B485" s="17"/>
      <c r="D485" s="18"/>
      <c r="E485" s="18"/>
      <c r="F485" s="18"/>
      <c r="G485" s="18"/>
      <c r="H485" s="58"/>
      <c r="I485" s="21"/>
      <c r="J485" s="22"/>
    </row>
    <row r="486" spans="1:10" ht="13.2" x14ac:dyDescent="0.25">
      <c r="A486" s="17"/>
      <c r="B486" s="17"/>
      <c r="D486" s="18"/>
      <c r="E486" s="18"/>
      <c r="F486" s="18"/>
      <c r="G486" s="18"/>
      <c r="H486" s="58"/>
      <c r="I486" s="21"/>
      <c r="J486" s="22"/>
    </row>
    <row r="487" spans="1:10" ht="13.2" x14ac:dyDescent="0.25">
      <c r="A487" s="17"/>
      <c r="B487" s="17"/>
      <c r="D487" s="18"/>
      <c r="E487" s="18"/>
      <c r="F487" s="18"/>
      <c r="G487" s="18"/>
      <c r="H487" s="58"/>
      <c r="I487" s="21"/>
      <c r="J487" s="22"/>
    </row>
    <row r="488" spans="1:10" ht="13.2" x14ac:dyDescent="0.25">
      <c r="A488" s="17"/>
      <c r="B488" s="17"/>
      <c r="D488" s="18"/>
      <c r="E488" s="18"/>
      <c r="F488" s="18"/>
      <c r="G488" s="18"/>
      <c r="H488" s="58"/>
      <c r="I488" s="21"/>
      <c r="J488" s="22"/>
    </row>
    <row r="489" spans="1:10" ht="13.2" x14ac:dyDescent="0.25">
      <c r="A489" s="17"/>
      <c r="B489" s="17"/>
      <c r="D489" s="18"/>
      <c r="E489" s="18"/>
      <c r="F489" s="18"/>
      <c r="G489" s="18"/>
      <c r="H489" s="58"/>
      <c r="I489" s="21"/>
      <c r="J489" s="22"/>
    </row>
    <row r="490" spans="1:10" ht="13.2" x14ac:dyDescent="0.25">
      <c r="A490" s="17"/>
      <c r="B490" s="17"/>
      <c r="D490" s="18"/>
      <c r="E490" s="18"/>
      <c r="F490" s="18"/>
      <c r="G490" s="18"/>
      <c r="H490" s="58"/>
      <c r="I490" s="21"/>
      <c r="J490" s="22"/>
    </row>
    <row r="491" spans="1:10" ht="13.2" x14ac:dyDescent="0.25">
      <c r="A491" s="17"/>
      <c r="B491" s="17"/>
      <c r="D491" s="18"/>
      <c r="E491" s="18"/>
      <c r="F491" s="18"/>
      <c r="G491" s="18"/>
      <c r="H491" s="58"/>
      <c r="I491" s="21"/>
      <c r="J491" s="22"/>
    </row>
    <row r="492" spans="1:10" ht="13.2" x14ac:dyDescent="0.25">
      <c r="A492" s="17"/>
      <c r="B492" s="17"/>
      <c r="D492" s="18"/>
      <c r="E492" s="18"/>
      <c r="F492" s="18"/>
      <c r="G492" s="18"/>
      <c r="H492" s="58"/>
      <c r="I492" s="21"/>
      <c r="J492" s="22"/>
    </row>
    <row r="493" spans="1:10" ht="13.2" x14ac:dyDescent="0.25">
      <c r="A493" s="17"/>
      <c r="B493" s="17"/>
      <c r="D493" s="18"/>
      <c r="E493" s="18"/>
      <c r="F493" s="18"/>
      <c r="G493" s="18"/>
      <c r="H493" s="58"/>
      <c r="I493" s="21"/>
      <c r="J493" s="22"/>
    </row>
    <row r="494" spans="1:10" ht="13.2" x14ac:dyDescent="0.25">
      <c r="A494" s="17"/>
      <c r="B494" s="17"/>
      <c r="D494" s="18"/>
      <c r="E494" s="18"/>
      <c r="F494" s="18"/>
      <c r="G494" s="18"/>
      <c r="H494" s="58"/>
      <c r="I494" s="21"/>
      <c r="J494" s="22"/>
    </row>
    <row r="495" spans="1:10" ht="13.2" x14ac:dyDescent="0.25">
      <c r="A495" s="17"/>
      <c r="B495" s="17"/>
      <c r="D495" s="18"/>
      <c r="E495" s="18"/>
      <c r="F495" s="18"/>
      <c r="G495" s="18"/>
      <c r="H495" s="58"/>
      <c r="I495" s="21"/>
      <c r="J495" s="22"/>
    </row>
    <row r="496" spans="1:10" ht="13.2" x14ac:dyDescent="0.25">
      <c r="A496" s="17"/>
      <c r="B496" s="17"/>
      <c r="D496" s="18"/>
      <c r="E496" s="18"/>
      <c r="F496" s="18"/>
      <c r="G496" s="18"/>
      <c r="H496" s="58"/>
      <c r="I496" s="21"/>
      <c r="J496" s="22"/>
    </row>
    <row r="497" spans="1:10" ht="13.2" x14ac:dyDescent="0.25">
      <c r="A497" s="17"/>
      <c r="B497" s="17"/>
      <c r="D497" s="18"/>
      <c r="E497" s="18"/>
      <c r="F497" s="18"/>
      <c r="G497" s="18"/>
      <c r="H497" s="58"/>
      <c r="I497" s="21"/>
      <c r="J497" s="22"/>
    </row>
    <row r="498" spans="1:10" ht="13.2" x14ac:dyDescent="0.25">
      <c r="A498" s="17"/>
      <c r="B498" s="17"/>
      <c r="D498" s="18"/>
      <c r="E498" s="18"/>
      <c r="F498" s="18"/>
      <c r="G498" s="18"/>
      <c r="H498" s="58"/>
      <c r="I498" s="21"/>
      <c r="J498" s="22"/>
    </row>
    <row r="499" spans="1:10" ht="13.2" x14ac:dyDescent="0.25">
      <c r="A499" s="17"/>
      <c r="B499" s="17"/>
      <c r="D499" s="18"/>
      <c r="E499" s="18"/>
      <c r="F499" s="18"/>
      <c r="G499" s="18"/>
      <c r="H499" s="58"/>
      <c r="I499" s="21"/>
      <c r="J499" s="22"/>
    </row>
    <row r="500" spans="1:10" ht="13.2" x14ac:dyDescent="0.25">
      <c r="A500" s="17"/>
      <c r="B500" s="17"/>
      <c r="D500" s="18"/>
      <c r="E500" s="18"/>
      <c r="F500" s="18"/>
      <c r="G500" s="18"/>
      <c r="H500" s="58"/>
      <c r="I500" s="21"/>
      <c r="J500" s="22"/>
    </row>
    <row r="501" spans="1:10" ht="13.2" x14ac:dyDescent="0.25">
      <c r="A501" s="17"/>
      <c r="B501" s="17"/>
      <c r="D501" s="18"/>
      <c r="E501" s="18"/>
      <c r="F501" s="18"/>
      <c r="G501" s="18"/>
      <c r="H501" s="58"/>
      <c r="I501" s="21"/>
      <c r="J501" s="22"/>
    </row>
    <row r="502" spans="1:10" ht="13.2" x14ac:dyDescent="0.25">
      <c r="A502" s="17"/>
      <c r="B502" s="17"/>
      <c r="D502" s="18"/>
      <c r="E502" s="18"/>
      <c r="F502" s="18"/>
      <c r="G502" s="18"/>
      <c r="H502" s="58"/>
      <c r="I502" s="21"/>
      <c r="J502" s="22"/>
    </row>
    <row r="503" spans="1:10" ht="13.2" x14ac:dyDescent="0.25">
      <c r="A503" s="17"/>
      <c r="B503" s="17"/>
      <c r="D503" s="18"/>
      <c r="E503" s="18"/>
      <c r="F503" s="18"/>
      <c r="G503" s="18"/>
      <c r="H503" s="58"/>
      <c r="I503" s="21"/>
      <c r="J503" s="22"/>
    </row>
    <row r="504" spans="1:10" ht="13.2" x14ac:dyDescent="0.25">
      <c r="A504" s="17"/>
      <c r="B504" s="17"/>
      <c r="D504" s="18"/>
      <c r="E504" s="18"/>
      <c r="F504" s="18"/>
      <c r="G504" s="18"/>
      <c r="H504" s="58"/>
      <c r="I504" s="21"/>
      <c r="J504" s="22"/>
    </row>
    <row r="505" spans="1:10" ht="13.2" x14ac:dyDescent="0.25">
      <c r="A505" s="17"/>
      <c r="B505" s="17"/>
      <c r="D505" s="18"/>
      <c r="E505" s="18"/>
      <c r="F505" s="18"/>
      <c r="G505" s="18"/>
      <c r="H505" s="58"/>
      <c r="I505" s="21"/>
      <c r="J505" s="22"/>
    </row>
    <row r="506" spans="1:10" ht="13.2" x14ac:dyDescent="0.25">
      <c r="A506" s="17"/>
      <c r="B506" s="17"/>
      <c r="D506" s="18"/>
      <c r="E506" s="18"/>
      <c r="F506" s="18"/>
      <c r="G506" s="18"/>
      <c r="H506" s="58"/>
      <c r="I506" s="21"/>
      <c r="J506" s="22"/>
    </row>
    <row r="507" spans="1:10" ht="13.2" x14ac:dyDescent="0.25">
      <c r="A507" s="17"/>
      <c r="B507" s="17"/>
      <c r="D507" s="18"/>
      <c r="E507" s="18"/>
      <c r="F507" s="18"/>
      <c r="G507" s="18"/>
      <c r="H507" s="58"/>
      <c r="I507" s="21"/>
      <c r="J507" s="22"/>
    </row>
    <row r="508" spans="1:10" ht="13.2" x14ac:dyDescent="0.25">
      <c r="A508" s="17"/>
      <c r="B508" s="17"/>
      <c r="D508" s="18"/>
      <c r="E508" s="18"/>
      <c r="F508" s="18"/>
      <c r="G508" s="18"/>
      <c r="H508" s="58"/>
      <c r="I508" s="21"/>
      <c r="J508" s="22"/>
    </row>
    <row r="509" spans="1:10" ht="13.2" x14ac:dyDescent="0.25">
      <c r="A509" s="17"/>
      <c r="B509" s="17"/>
      <c r="D509" s="18"/>
      <c r="E509" s="18"/>
      <c r="F509" s="18"/>
      <c r="G509" s="18"/>
      <c r="H509" s="58"/>
      <c r="I509" s="21"/>
      <c r="J509" s="22"/>
    </row>
    <row r="510" spans="1:10" ht="13.2" x14ac:dyDescent="0.25">
      <c r="A510" s="17"/>
      <c r="B510" s="17"/>
      <c r="D510" s="18"/>
      <c r="E510" s="18"/>
      <c r="F510" s="18"/>
      <c r="G510" s="18"/>
      <c r="H510" s="58"/>
      <c r="I510" s="21"/>
      <c r="J510" s="22"/>
    </row>
    <row r="511" spans="1:10" ht="13.2" x14ac:dyDescent="0.25">
      <c r="A511" s="17"/>
      <c r="B511" s="17"/>
      <c r="D511" s="18"/>
      <c r="E511" s="18"/>
      <c r="F511" s="18"/>
      <c r="G511" s="18"/>
      <c r="H511" s="58"/>
      <c r="I511" s="21"/>
      <c r="J511" s="22"/>
    </row>
    <row r="512" spans="1:10" ht="13.2" x14ac:dyDescent="0.25">
      <c r="A512" s="17"/>
      <c r="B512" s="17"/>
      <c r="D512" s="18"/>
      <c r="E512" s="18"/>
      <c r="F512" s="18"/>
      <c r="G512" s="18"/>
      <c r="H512" s="58"/>
      <c r="I512" s="21"/>
      <c r="J512" s="22"/>
    </row>
    <row r="513" spans="1:10" ht="13.2" x14ac:dyDescent="0.25">
      <c r="A513" s="17"/>
      <c r="B513" s="17"/>
      <c r="D513" s="18"/>
      <c r="E513" s="18"/>
      <c r="F513" s="18"/>
      <c r="G513" s="18"/>
      <c r="H513" s="58"/>
      <c r="I513" s="21"/>
      <c r="J513" s="22"/>
    </row>
    <row r="514" spans="1:10" ht="13.2" x14ac:dyDescent="0.25">
      <c r="A514" s="17"/>
      <c r="B514" s="17"/>
      <c r="D514" s="18"/>
      <c r="E514" s="18"/>
      <c r="F514" s="18"/>
      <c r="G514" s="18"/>
      <c r="H514" s="58"/>
      <c r="I514" s="21"/>
      <c r="J514" s="22"/>
    </row>
    <row r="515" spans="1:10" ht="13.2" x14ac:dyDescent="0.25">
      <c r="A515" s="17"/>
      <c r="B515" s="17"/>
      <c r="D515" s="18"/>
      <c r="E515" s="18"/>
      <c r="F515" s="18"/>
      <c r="G515" s="18"/>
      <c r="H515" s="58"/>
      <c r="I515" s="21"/>
      <c r="J515" s="22"/>
    </row>
    <row r="516" spans="1:10" ht="13.2" x14ac:dyDescent="0.25">
      <c r="A516" s="17"/>
      <c r="B516" s="17"/>
      <c r="D516" s="18"/>
      <c r="E516" s="18"/>
      <c r="F516" s="18"/>
      <c r="G516" s="18"/>
      <c r="H516" s="58"/>
      <c r="I516" s="21"/>
      <c r="J516" s="22"/>
    </row>
    <row r="517" spans="1:10" ht="13.2" x14ac:dyDescent="0.25">
      <c r="A517" s="17"/>
      <c r="B517" s="17"/>
      <c r="D517" s="18"/>
      <c r="E517" s="18"/>
      <c r="F517" s="18"/>
      <c r="G517" s="18"/>
      <c r="H517" s="58"/>
      <c r="I517" s="21"/>
      <c r="J517" s="22"/>
    </row>
    <row r="518" spans="1:10" ht="13.2" x14ac:dyDescent="0.25">
      <c r="A518" s="17"/>
      <c r="B518" s="17"/>
      <c r="D518" s="18"/>
      <c r="E518" s="18"/>
      <c r="F518" s="18"/>
      <c r="G518" s="18"/>
      <c r="H518" s="58"/>
      <c r="I518" s="21"/>
      <c r="J518" s="22"/>
    </row>
    <row r="519" spans="1:10" ht="13.2" x14ac:dyDescent="0.25">
      <c r="A519" s="17"/>
      <c r="B519" s="17"/>
      <c r="D519" s="18"/>
      <c r="E519" s="18"/>
      <c r="F519" s="18"/>
      <c r="G519" s="18"/>
      <c r="H519" s="58"/>
      <c r="I519" s="21"/>
      <c r="J519" s="22"/>
    </row>
    <row r="520" spans="1:10" ht="13.2" x14ac:dyDescent="0.25">
      <c r="A520" s="17"/>
      <c r="B520" s="17"/>
      <c r="D520" s="18"/>
      <c r="E520" s="18"/>
      <c r="F520" s="18"/>
      <c r="G520" s="18"/>
      <c r="H520" s="58"/>
      <c r="I520" s="21"/>
      <c r="J520" s="22"/>
    </row>
    <row r="521" spans="1:10" ht="13.2" x14ac:dyDescent="0.25">
      <c r="A521" s="17"/>
      <c r="B521" s="17"/>
      <c r="D521" s="18"/>
      <c r="E521" s="18"/>
      <c r="F521" s="18"/>
      <c r="G521" s="18"/>
      <c r="H521" s="58"/>
      <c r="I521" s="21"/>
      <c r="J521" s="22"/>
    </row>
    <row r="522" spans="1:10" ht="13.2" x14ac:dyDescent="0.25">
      <c r="A522" s="17"/>
      <c r="B522" s="17"/>
      <c r="D522" s="18"/>
      <c r="E522" s="18"/>
      <c r="F522" s="18"/>
      <c r="G522" s="18"/>
      <c r="H522" s="58"/>
      <c r="I522" s="21"/>
      <c r="J522" s="22"/>
    </row>
    <row r="523" spans="1:10" ht="13.2" x14ac:dyDescent="0.25">
      <c r="A523" s="17"/>
      <c r="B523" s="17"/>
      <c r="D523" s="18"/>
      <c r="E523" s="18"/>
      <c r="F523" s="18"/>
      <c r="G523" s="18"/>
      <c r="H523" s="58"/>
      <c r="I523" s="21"/>
      <c r="J523" s="22"/>
    </row>
    <row r="524" spans="1:10" ht="13.2" x14ac:dyDescent="0.25">
      <c r="A524" s="17"/>
      <c r="B524" s="17"/>
      <c r="D524" s="18"/>
      <c r="E524" s="18"/>
      <c r="F524" s="18"/>
      <c r="G524" s="18"/>
      <c r="H524" s="58"/>
      <c r="I524" s="21"/>
      <c r="J524" s="22"/>
    </row>
    <row r="525" spans="1:10" ht="13.2" x14ac:dyDescent="0.25">
      <c r="A525" s="17"/>
      <c r="B525" s="17"/>
      <c r="D525" s="18"/>
      <c r="E525" s="18"/>
      <c r="F525" s="18"/>
      <c r="G525" s="18"/>
      <c r="H525" s="58"/>
      <c r="I525" s="21"/>
      <c r="J525" s="22"/>
    </row>
    <row r="526" spans="1:10" ht="13.2" x14ac:dyDescent="0.25">
      <c r="A526" s="17"/>
      <c r="B526" s="17"/>
      <c r="D526" s="18"/>
      <c r="E526" s="18"/>
      <c r="F526" s="18"/>
      <c r="G526" s="18"/>
      <c r="H526" s="58"/>
      <c r="I526" s="21"/>
      <c r="J526" s="22"/>
    </row>
    <row r="527" spans="1:10" ht="13.2" x14ac:dyDescent="0.25">
      <c r="A527" s="17"/>
      <c r="B527" s="17"/>
      <c r="D527" s="18"/>
      <c r="E527" s="18"/>
      <c r="F527" s="18"/>
      <c r="G527" s="18"/>
      <c r="H527" s="58"/>
      <c r="I527" s="21"/>
      <c r="J527" s="22"/>
    </row>
    <row r="528" spans="1:10" ht="13.2" x14ac:dyDescent="0.25">
      <c r="A528" s="17"/>
      <c r="B528" s="17"/>
      <c r="D528" s="18"/>
      <c r="E528" s="18"/>
      <c r="F528" s="18"/>
      <c r="G528" s="18"/>
      <c r="H528" s="58"/>
      <c r="I528" s="21"/>
      <c r="J528" s="22"/>
    </row>
    <row r="529" spans="1:10" ht="13.2" x14ac:dyDescent="0.25">
      <c r="A529" s="17"/>
      <c r="B529" s="17"/>
      <c r="D529" s="18"/>
      <c r="E529" s="18"/>
      <c r="F529" s="18"/>
      <c r="G529" s="18"/>
      <c r="H529" s="58"/>
      <c r="I529" s="21"/>
      <c r="J529" s="22"/>
    </row>
    <row r="530" spans="1:10" ht="13.2" x14ac:dyDescent="0.25">
      <c r="A530" s="17"/>
      <c r="B530" s="17"/>
      <c r="D530" s="18"/>
      <c r="E530" s="18"/>
      <c r="F530" s="18"/>
      <c r="G530" s="18"/>
      <c r="H530" s="58"/>
      <c r="I530" s="21"/>
      <c r="J530" s="22"/>
    </row>
    <row r="531" spans="1:10" ht="13.2" x14ac:dyDescent="0.25">
      <c r="A531" s="17"/>
      <c r="B531" s="17"/>
      <c r="D531" s="18"/>
      <c r="E531" s="18"/>
      <c r="F531" s="18"/>
      <c r="G531" s="18"/>
      <c r="H531" s="58"/>
      <c r="I531" s="21"/>
      <c r="J531" s="22"/>
    </row>
    <row r="532" spans="1:10" ht="13.2" x14ac:dyDescent="0.25">
      <c r="A532" s="17"/>
      <c r="B532" s="17"/>
      <c r="D532" s="18"/>
      <c r="E532" s="18"/>
      <c r="F532" s="18"/>
      <c r="G532" s="18"/>
      <c r="H532" s="58"/>
      <c r="I532" s="21"/>
      <c r="J532" s="22"/>
    </row>
    <row r="533" spans="1:10" ht="13.2" x14ac:dyDescent="0.25">
      <c r="A533" s="17"/>
      <c r="B533" s="17"/>
      <c r="D533" s="18"/>
      <c r="E533" s="18"/>
      <c r="F533" s="18"/>
      <c r="G533" s="18"/>
      <c r="H533" s="58"/>
      <c r="I533" s="21"/>
      <c r="J533" s="22"/>
    </row>
    <row r="534" spans="1:10" ht="13.2" x14ac:dyDescent="0.25">
      <c r="A534" s="17"/>
      <c r="B534" s="17"/>
      <c r="D534" s="18"/>
      <c r="E534" s="18"/>
      <c r="F534" s="18"/>
      <c r="G534" s="18"/>
      <c r="H534" s="58"/>
      <c r="I534" s="21"/>
      <c r="J534" s="22"/>
    </row>
    <row r="535" spans="1:10" ht="13.2" x14ac:dyDescent="0.25">
      <c r="A535" s="17"/>
      <c r="B535" s="17"/>
      <c r="D535" s="18"/>
      <c r="E535" s="18"/>
      <c r="F535" s="18"/>
      <c r="G535" s="18"/>
      <c r="H535" s="58"/>
      <c r="I535" s="21"/>
      <c r="J535" s="22"/>
    </row>
    <row r="536" spans="1:10" ht="13.2" x14ac:dyDescent="0.25">
      <c r="A536" s="17"/>
      <c r="B536" s="17"/>
      <c r="D536" s="18"/>
      <c r="E536" s="18"/>
      <c r="F536" s="18"/>
      <c r="G536" s="18"/>
      <c r="H536" s="58"/>
      <c r="I536" s="21"/>
      <c r="J536" s="22"/>
    </row>
    <row r="537" spans="1:10" ht="13.2" x14ac:dyDescent="0.25">
      <c r="A537" s="17"/>
      <c r="B537" s="17"/>
      <c r="D537" s="18"/>
      <c r="E537" s="18"/>
      <c r="F537" s="18"/>
      <c r="G537" s="18"/>
      <c r="H537" s="58"/>
      <c r="I537" s="21"/>
      <c r="J537" s="22"/>
    </row>
    <row r="538" spans="1:10" ht="13.2" x14ac:dyDescent="0.25">
      <c r="A538" s="17"/>
      <c r="B538" s="17"/>
      <c r="D538" s="18"/>
      <c r="E538" s="18"/>
      <c r="F538" s="18"/>
      <c r="G538" s="18"/>
      <c r="H538" s="58"/>
      <c r="I538" s="21"/>
      <c r="J538" s="22"/>
    </row>
    <row r="539" spans="1:10" ht="13.2" x14ac:dyDescent="0.25">
      <c r="A539" s="17"/>
      <c r="B539" s="17"/>
      <c r="D539" s="18"/>
      <c r="E539" s="18"/>
      <c r="F539" s="18"/>
      <c r="G539" s="18"/>
      <c r="H539" s="58"/>
      <c r="I539" s="21"/>
      <c r="J539" s="22"/>
    </row>
    <row r="540" spans="1:10" ht="13.2" x14ac:dyDescent="0.25">
      <c r="A540" s="17"/>
      <c r="B540" s="17"/>
      <c r="D540" s="18"/>
      <c r="E540" s="18"/>
      <c r="F540" s="18"/>
      <c r="G540" s="18"/>
      <c r="H540" s="58"/>
      <c r="I540" s="21"/>
      <c r="J540" s="22"/>
    </row>
    <row r="541" spans="1:10" ht="13.2" x14ac:dyDescent="0.25">
      <c r="A541" s="17"/>
      <c r="B541" s="17"/>
      <c r="D541" s="18"/>
      <c r="E541" s="18"/>
      <c r="F541" s="18"/>
      <c r="G541" s="18"/>
      <c r="H541" s="58"/>
      <c r="I541" s="21"/>
      <c r="J541" s="22"/>
    </row>
    <row r="542" spans="1:10" ht="13.2" x14ac:dyDescent="0.25">
      <c r="A542" s="17"/>
      <c r="B542" s="17"/>
      <c r="D542" s="18"/>
      <c r="E542" s="18"/>
      <c r="F542" s="18"/>
      <c r="G542" s="18"/>
      <c r="H542" s="58"/>
      <c r="I542" s="21"/>
      <c r="J542" s="22"/>
    </row>
    <row r="543" spans="1:10" ht="13.2" x14ac:dyDescent="0.25">
      <c r="A543" s="17"/>
      <c r="B543" s="17"/>
      <c r="D543" s="18"/>
      <c r="E543" s="18"/>
      <c r="F543" s="18"/>
      <c r="G543" s="18"/>
      <c r="H543" s="58"/>
      <c r="I543" s="21"/>
      <c r="J543" s="22"/>
    </row>
    <row r="544" spans="1:10" ht="13.2" x14ac:dyDescent="0.25">
      <c r="A544" s="17"/>
      <c r="B544" s="17"/>
      <c r="D544" s="18"/>
      <c r="E544" s="18"/>
      <c r="F544" s="18"/>
      <c r="G544" s="18"/>
      <c r="H544" s="58"/>
      <c r="I544" s="21"/>
      <c r="J544" s="22"/>
    </row>
    <row r="545" spans="1:10" ht="13.2" x14ac:dyDescent="0.25">
      <c r="A545" s="17"/>
      <c r="B545" s="17"/>
      <c r="D545" s="18"/>
      <c r="E545" s="18"/>
      <c r="F545" s="18"/>
      <c r="G545" s="18"/>
      <c r="H545" s="58"/>
      <c r="I545" s="21"/>
      <c r="J545" s="22"/>
    </row>
    <row r="546" spans="1:10" ht="13.2" x14ac:dyDescent="0.25">
      <c r="A546" s="17"/>
      <c r="B546" s="17"/>
      <c r="D546" s="18"/>
      <c r="E546" s="18"/>
      <c r="F546" s="18"/>
      <c r="G546" s="18"/>
      <c r="H546" s="58"/>
      <c r="I546" s="21"/>
      <c r="J546" s="22"/>
    </row>
    <row r="547" spans="1:10" ht="13.2" x14ac:dyDescent="0.25">
      <c r="A547" s="17"/>
      <c r="B547" s="17"/>
      <c r="D547" s="18"/>
      <c r="E547" s="18"/>
      <c r="F547" s="18"/>
      <c r="G547" s="18"/>
      <c r="H547" s="58"/>
      <c r="I547" s="21"/>
      <c r="J547" s="22"/>
    </row>
    <row r="548" spans="1:10" ht="13.2" x14ac:dyDescent="0.25">
      <c r="A548" s="17"/>
      <c r="B548" s="17"/>
      <c r="D548" s="18"/>
      <c r="E548" s="18"/>
      <c r="F548" s="18"/>
      <c r="G548" s="18"/>
      <c r="H548" s="58"/>
      <c r="I548" s="21"/>
      <c r="J548" s="22"/>
    </row>
    <row r="549" spans="1:10" ht="13.2" x14ac:dyDescent="0.25">
      <c r="A549" s="17"/>
      <c r="B549" s="17"/>
      <c r="D549" s="18"/>
      <c r="E549" s="18"/>
      <c r="F549" s="18"/>
      <c r="G549" s="18"/>
      <c r="H549" s="58"/>
      <c r="I549" s="21"/>
      <c r="J549" s="22"/>
    </row>
    <row r="550" spans="1:10" ht="13.2" x14ac:dyDescent="0.25">
      <c r="A550" s="17"/>
      <c r="B550" s="17"/>
      <c r="D550" s="18"/>
      <c r="E550" s="18"/>
      <c r="F550" s="18"/>
      <c r="G550" s="18"/>
      <c r="H550" s="58"/>
      <c r="I550" s="21"/>
      <c r="J550" s="22"/>
    </row>
    <row r="551" spans="1:10" ht="13.2" x14ac:dyDescent="0.25">
      <c r="A551" s="17"/>
      <c r="B551" s="17"/>
      <c r="D551" s="18"/>
      <c r="E551" s="18"/>
      <c r="F551" s="18"/>
      <c r="G551" s="18"/>
      <c r="H551" s="58"/>
      <c r="I551" s="21"/>
      <c r="J551" s="22"/>
    </row>
    <row r="552" spans="1:10" ht="13.2" x14ac:dyDescent="0.25">
      <c r="A552" s="17"/>
      <c r="B552" s="17"/>
      <c r="D552" s="18"/>
      <c r="E552" s="18"/>
      <c r="F552" s="18"/>
      <c r="G552" s="18"/>
      <c r="H552" s="58"/>
      <c r="I552" s="21"/>
      <c r="J552" s="22"/>
    </row>
    <row r="553" spans="1:10" ht="13.2" x14ac:dyDescent="0.25">
      <c r="A553" s="17"/>
      <c r="B553" s="17"/>
      <c r="D553" s="18"/>
      <c r="E553" s="18"/>
      <c r="F553" s="18"/>
      <c r="G553" s="18"/>
      <c r="H553" s="58"/>
      <c r="I553" s="21"/>
      <c r="J553" s="22"/>
    </row>
    <row r="554" spans="1:10" ht="13.2" x14ac:dyDescent="0.25">
      <c r="A554" s="17"/>
      <c r="B554" s="17"/>
      <c r="D554" s="18"/>
      <c r="E554" s="18"/>
      <c r="F554" s="18"/>
      <c r="G554" s="18"/>
      <c r="H554" s="58"/>
      <c r="I554" s="21"/>
      <c r="J554" s="22"/>
    </row>
    <row r="555" spans="1:10" ht="13.2" x14ac:dyDescent="0.25">
      <c r="A555" s="17"/>
      <c r="B555" s="17"/>
      <c r="D555" s="18"/>
      <c r="E555" s="18"/>
      <c r="F555" s="18"/>
      <c r="G555" s="18"/>
      <c r="H555" s="58"/>
      <c r="I555" s="21"/>
      <c r="J555" s="22"/>
    </row>
    <row r="556" spans="1:10" ht="13.2" x14ac:dyDescent="0.25">
      <c r="A556" s="17"/>
      <c r="B556" s="17"/>
      <c r="D556" s="18"/>
      <c r="E556" s="18"/>
      <c r="F556" s="18"/>
      <c r="G556" s="18"/>
      <c r="H556" s="58"/>
      <c r="I556" s="21"/>
      <c r="J556" s="22"/>
    </row>
    <row r="557" spans="1:10" ht="13.2" x14ac:dyDescent="0.25">
      <c r="A557" s="17"/>
      <c r="B557" s="17"/>
      <c r="D557" s="18"/>
      <c r="E557" s="18"/>
      <c r="F557" s="18"/>
      <c r="G557" s="18"/>
      <c r="H557" s="58"/>
      <c r="I557" s="21"/>
      <c r="J557" s="22"/>
    </row>
    <row r="558" spans="1:10" ht="13.2" x14ac:dyDescent="0.25">
      <c r="A558" s="17"/>
      <c r="B558" s="17"/>
      <c r="D558" s="18"/>
      <c r="E558" s="18"/>
      <c r="F558" s="18"/>
      <c r="G558" s="18"/>
      <c r="H558" s="58"/>
      <c r="I558" s="21"/>
      <c r="J558" s="22"/>
    </row>
    <row r="559" spans="1:10" ht="13.2" x14ac:dyDescent="0.25">
      <c r="A559" s="17"/>
      <c r="B559" s="17"/>
      <c r="D559" s="18"/>
      <c r="E559" s="18"/>
      <c r="F559" s="18"/>
      <c r="G559" s="18"/>
      <c r="H559" s="58"/>
      <c r="I559" s="21"/>
      <c r="J559" s="22"/>
    </row>
    <row r="560" spans="1:10" ht="13.2" x14ac:dyDescent="0.25">
      <c r="A560" s="17"/>
      <c r="B560" s="17"/>
      <c r="D560" s="18"/>
      <c r="E560" s="18"/>
      <c r="F560" s="18"/>
      <c r="G560" s="18"/>
      <c r="H560" s="58"/>
      <c r="I560" s="21"/>
      <c r="J560" s="22"/>
    </row>
    <row r="561" spans="1:10" ht="13.2" x14ac:dyDescent="0.25">
      <c r="A561" s="17"/>
      <c r="B561" s="17"/>
      <c r="D561" s="18"/>
      <c r="E561" s="18"/>
      <c r="F561" s="18"/>
      <c r="G561" s="18"/>
      <c r="H561" s="58"/>
      <c r="I561" s="21"/>
      <c r="J561" s="22"/>
    </row>
    <row r="562" spans="1:10" ht="13.2" x14ac:dyDescent="0.25">
      <c r="A562" s="17"/>
      <c r="B562" s="17"/>
      <c r="D562" s="18"/>
      <c r="E562" s="18"/>
      <c r="F562" s="18"/>
      <c r="G562" s="18"/>
      <c r="H562" s="58"/>
      <c r="I562" s="21"/>
      <c r="J562" s="22"/>
    </row>
    <row r="563" spans="1:10" ht="13.2" x14ac:dyDescent="0.25">
      <c r="A563" s="17"/>
      <c r="B563" s="17"/>
      <c r="D563" s="18"/>
      <c r="E563" s="18"/>
      <c r="F563" s="18"/>
      <c r="G563" s="18"/>
      <c r="H563" s="58"/>
      <c r="I563" s="21"/>
      <c r="J563" s="22"/>
    </row>
    <row r="564" spans="1:10" ht="13.2" x14ac:dyDescent="0.25">
      <c r="A564" s="17"/>
      <c r="B564" s="17"/>
      <c r="D564" s="18"/>
      <c r="E564" s="18"/>
      <c r="F564" s="18"/>
      <c r="G564" s="18"/>
      <c r="H564" s="58"/>
      <c r="I564" s="21"/>
      <c r="J564" s="22"/>
    </row>
    <row r="565" spans="1:10" ht="13.2" x14ac:dyDescent="0.25">
      <c r="A565" s="17"/>
      <c r="B565" s="17"/>
      <c r="D565" s="18"/>
      <c r="E565" s="18"/>
      <c r="F565" s="18"/>
      <c r="G565" s="18"/>
      <c r="H565" s="58"/>
      <c r="I565" s="21"/>
      <c r="J565" s="22"/>
    </row>
    <row r="566" spans="1:10" ht="13.2" x14ac:dyDescent="0.25">
      <c r="A566" s="17"/>
      <c r="B566" s="17"/>
      <c r="D566" s="18"/>
      <c r="E566" s="18"/>
      <c r="F566" s="18"/>
      <c r="G566" s="18"/>
      <c r="H566" s="58"/>
      <c r="I566" s="21"/>
      <c r="J566" s="22"/>
    </row>
    <row r="567" spans="1:10" ht="13.2" x14ac:dyDescent="0.25">
      <c r="A567" s="17"/>
      <c r="B567" s="17"/>
      <c r="D567" s="18"/>
      <c r="E567" s="18"/>
      <c r="F567" s="18"/>
      <c r="G567" s="18"/>
      <c r="H567" s="58"/>
      <c r="I567" s="21"/>
      <c r="J567" s="22"/>
    </row>
    <row r="568" spans="1:10" ht="13.2" x14ac:dyDescent="0.25">
      <c r="A568" s="17"/>
      <c r="B568" s="17"/>
      <c r="D568" s="18"/>
      <c r="E568" s="18"/>
      <c r="F568" s="18"/>
      <c r="G568" s="18"/>
      <c r="H568" s="58"/>
      <c r="I568" s="21"/>
      <c r="J568" s="22"/>
    </row>
    <row r="569" spans="1:10" ht="13.2" x14ac:dyDescent="0.25">
      <c r="A569" s="17"/>
      <c r="B569" s="17"/>
      <c r="D569" s="18"/>
      <c r="E569" s="18"/>
      <c r="F569" s="18"/>
      <c r="G569" s="18"/>
      <c r="H569" s="58"/>
      <c r="I569" s="21"/>
      <c r="J569" s="22"/>
    </row>
    <row r="570" spans="1:10" ht="13.2" x14ac:dyDescent="0.25">
      <c r="A570" s="17"/>
      <c r="B570" s="17"/>
      <c r="D570" s="18"/>
      <c r="E570" s="18"/>
      <c r="F570" s="18"/>
      <c r="G570" s="18"/>
      <c r="H570" s="58"/>
      <c r="I570" s="21"/>
      <c r="J570" s="22"/>
    </row>
    <row r="571" spans="1:10" ht="13.2" x14ac:dyDescent="0.25">
      <c r="A571" s="17"/>
      <c r="B571" s="17"/>
      <c r="D571" s="18"/>
      <c r="E571" s="18"/>
      <c r="F571" s="18"/>
      <c r="G571" s="18"/>
      <c r="H571" s="58"/>
      <c r="I571" s="21"/>
      <c r="J571" s="22"/>
    </row>
    <row r="572" spans="1:10" ht="13.2" x14ac:dyDescent="0.25">
      <c r="A572" s="17"/>
      <c r="B572" s="17"/>
      <c r="D572" s="18"/>
      <c r="E572" s="18"/>
      <c r="F572" s="18"/>
      <c r="G572" s="18"/>
      <c r="H572" s="58"/>
      <c r="I572" s="21"/>
      <c r="J572" s="22"/>
    </row>
    <row r="573" spans="1:10" ht="13.2" x14ac:dyDescent="0.25">
      <c r="A573" s="17"/>
      <c r="B573" s="17"/>
      <c r="D573" s="18"/>
      <c r="E573" s="18"/>
      <c r="F573" s="18"/>
      <c r="G573" s="18"/>
      <c r="H573" s="58"/>
      <c r="I573" s="21"/>
      <c r="J573" s="22"/>
    </row>
    <row r="574" spans="1:10" ht="13.2" x14ac:dyDescent="0.25">
      <c r="A574" s="17"/>
      <c r="B574" s="17"/>
      <c r="D574" s="18"/>
      <c r="E574" s="18"/>
      <c r="F574" s="18"/>
      <c r="G574" s="18"/>
      <c r="H574" s="58"/>
      <c r="I574" s="21"/>
      <c r="J574" s="22"/>
    </row>
    <row r="575" spans="1:10" ht="13.2" x14ac:dyDescent="0.25">
      <c r="A575" s="17"/>
      <c r="B575" s="17"/>
      <c r="D575" s="18"/>
      <c r="E575" s="18"/>
      <c r="F575" s="18"/>
      <c r="G575" s="18"/>
      <c r="H575" s="58"/>
      <c r="I575" s="21"/>
      <c r="J575" s="22"/>
    </row>
    <row r="576" spans="1:10" ht="13.2" x14ac:dyDescent="0.25">
      <c r="A576" s="17"/>
      <c r="B576" s="17"/>
      <c r="D576" s="18"/>
      <c r="E576" s="18"/>
      <c r="F576" s="18"/>
      <c r="G576" s="18"/>
      <c r="H576" s="58"/>
      <c r="I576" s="21"/>
      <c r="J576" s="22"/>
    </row>
    <row r="577" spans="1:10" ht="13.2" x14ac:dyDescent="0.25">
      <c r="A577" s="17"/>
      <c r="B577" s="17"/>
      <c r="D577" s="18"/>
      <c r="E577" s="18"/>
      <c r="F577" s="18"/>
      <c r="G577" s="18"/>
      <c r="H577" s="58"/>
      <c r="I577" s="21"/>
      <c r="J577" s="22"/>
    </row>
    <row r="578" spans="1:10" ht="13.2" x14ac:dyDescent="0.25">
      <c r="A578" s="17"/>
      <c r="B578" s="17"/>
      <c r="D578" s="18"/>
      <c r="E578" s="18"/>
      <c r="F578" s="18"/>
      <c r="G578" s="18"/>
      <c r="H578" s="58"/>
      <c r="I578" s="21"/>
      <c r="J578" s="22"/>
    </row>
    <row r="579" spans="1:10" ht="13.2" x14ac:dyDescent="0.25">
      <c r="A579" s="17"/>
      <c r="B579" s="17"/>
      <c r="D579" s="18"/>
      <c r="E579" s="18"/>
      <c r="F579" s="18"/>
      <c r="G579" s="18"/>
      <c r="H579" s="58"/>
      <c r="I579" s="21"/>
      <c r="J579" s="22"/>
    </row>
    <row r="580" spans="1:10" ht="13.2" x14ac:dyDescent="0.25">
      <c r="A580" s="17"/>
      <c r="B580" s="17"/>
      <c r="D580" s="18"/>
      <c r="E580" s="18"/>
      <c r="F580" s="18"/>
      <c r="G580" s="18"/>
      <c r="H580" s="58"/>
      <c r="I580" s="21"/>
      <c r="J580" s="22"/>
    </row>
    <row r="581" spans="1:10" ht="13.2" x14ac:dyDescent="0.25">
      <c r="A581" s="17"/>
      <c r="B581" s="17"/>
      <c r="D581" s="18"/>
      <c r="E581" s="18"/>
      <c r="F581" s="18"/>
      <c r="G581" s="18"/>
      <c r="H581" s="58"/>
      <c r="I581" s="21"/>
      <c r="J581" s="22"/>
    </row>
    <row r="582" spans="1:10" ht="13.2" x14ac:dyDescent="0.25">
      <c r="A582" s="17"/>
      <c r="B582" s="17"/>
      <c r="D582" s="18"/>
      <c r="E582" s="18"/>
      <c r="F582" s="18"/>
      <c r="G582" s="18"/>
      <c r="H582" s="58"/>
      <c r="I582" s="21"/>
      <c r="J582" s="22"/>
    </row>
    <row r="583" spans="1:10" ht="13.2" x14ac:dyDescent="0.25">
      <c r="A583" s="17"/>
      <c r="B583" s="17"/>
      <c r="D583" s="18"/>
      <c r="E583" s="18"/>
      <c r="F583" s="18"/>
      <c r="G583" s="18"/>
      <c r="H583" s="58"/>
      <c r="I583" s="21"/>
      <c r="J583" s="22"/>
    </row>
    <row r="584" spans="1:10" ht="13.2" x14ac:dyDescent="0.25">
      <c r="A584" s="17"/>
      <c r="B584" s="17"/>
      <c r="D584" s="18"/>
      <c r="E584" s="18"/>
      <c r="F584" s="18"/>
      <c r="G584" s="18"/>
      <c r="H584" s="58"/>
      <c r="I584" s="21"/>
      <c r="J584" s="22"/>
    </row>
    <row r="585" spans="1:10" ht="13.2" x14ac:dyDescent="0.25">
      <c r="A585" s="17"/>
      <c r="B585" s="17"/>
      <c r="D585" s="18"/>
      <c r="E585" s="18"/>
      <c r="F585" s="18"/>
      <c r="G585" s="18"/>
      <c r="H585" s="58"/>
      <c r="I585" s="21"/>
      <c r="J585" s="22"/>
    </row>
    <row r="586" spans="1:10" ht="13.2" x14ac:dyDescent="0.25">
      <c r="A586" s="17"/>
      <c r="B586" s="17"/>
      <c r="D586" s="18"/>
      <c r="E586" s="18"/>
      <c r="F586" s="18"/>
      <c r="G586" s="18"/>
      <c r="H586" s="58"/>
      <c r="I586" s="21"/>
      <c r="J586" s="22"/>
    </row>
    <row r="587" spans="1:10" ht="13.2" x14ac:dyDescent="0.25">
      <c r="A587" s="17"/>
      <c r="B587" s="17"/>
      <c r="D587" s="18"/>
      <c r="E587" s="18"/>
      <c r="F587" s="18"/>
      <c r="G587" s="18"/>
      <c r="H587" s="58"/>
      <c r="I587" s="21"/>
      <c r="J587" s="22"/>
    </row>
    <row r="588" spans="1:10" ht="13.2" x14ac:dyDescent="0.25">
      <c r="A588" s="17"/>
      <c r="B588" s="17"/>
      <c r="D588" s="18"/>
      <c r="E588" s="18"/>
      <c r="F588" s="18"/>
      <c r="G588" s="18"/>
      <c r="H588" s="58"/>
      <c r="I588" s="21"/>
      <c r="J588" s="22"/>
    </row>
    <row r="589" spans="1:10" ht="13.2" x14ac:dyDescent="0.25">
      <c r="A589" s="17"/>
      <c r="B589" s="17"/>
      <c r="D589" s="18"/>
      <c r="E589" s="18"/>
      <c r="F589" s="18"/>
      <c r="G589" s="18"/>
      <c r="H589" s="58"/>
      <c r="I589" s="21"/>
      <c r="J589" s="22"/>
    </row>
    <row r="590" spans="1:10" ht="13.2" x14ac:dyDescent="0.25">
      <c r="A590" s="17"/>
      <c r="B590" s="17"/>
      <c r="D590" s="18"/>
      <c r="E590" s="18"/>
      <c r="F590" s="18"/>
      <c r="G590" s="18"/>
      <c r="H590" s="58"/>
      <c r="I590" s="21"/>
      <c r="J590" s="22"/>
    </row>
    <row r="591" spans="1:10" ht="13.2" x14ac:dyDescent="0.25">
      <c r="A591" s="17"/>
      <c r="B591" s="17"/>
      <c r="D591" s="18"/>
      <c r="E591" s="18"/>
      <c r="F591" s="18"/>
      <c r="G591" s="18"/>
      <c r="H591" s="58"/>
      <c r="I591" s="21"/>
      <c r="J591" s="22"/>
    </row>
    <row r="592" spans="1:10" ht="13.2" x14ac:dyDescent="0.25">
      <c r="A592" s="17"/>
      <c r="B592" s="17"/>
      <c r="D592" s="18"/>
      <c r="E592" s="18"/>
      <c r="F592" s="18"/>
      <c r="G592" s="18"/>
      <c r="H592" s="58"/>
      <c r="I592" s="21"/>
      <c r="J592" s="22"/>
    </row>
    <row r="593" spans="1:10" ht="13.2" x14ac:dyDescent="0.25">
      <c r="A593" s="17"/>
      <c r="B593" s="17"/>
      <c r="D593" s="18"/>
      <c r="E593" s="18"/>
      <c r="F593" s="18"/>
      <c r="G593" s="18"/>
      <c r="H593" s="58"/>
      <c r="I593" s="21"/>
      <c r="J593" s="22"/>
    </row>
    <row r="594" spans="1:10" ht="13.2" x14ac:dyDescent="0.25">
      <c r="A594" s="17"/>
      <c r="B594" s="17"/>
      <c r="D594" s="18"/>
      <c r="E594" s="18"/>
      <c r="F594" s="18"/>
      <c r="G594" s="18"/>
      <c r="H594" s="58"/>
      <c r="I594" s="21"/>
      <c r="J594" s="22"/>
    </row>
    <row r="595" spans="1:10" ht="13.2" x14ac:dyDescent="0.25">
      <c r="A595" s="17"/>
      <c r="B595" s="17"/>
      <c r="D595" s="18"/>
      <c r="E595" s="18"/>
      <c r="F595" s="18"/>
      <c r="G595" s="18"/>
      <c r="H595" s="58"/>
      <c r="I595" s="21"/>
      <c r="J595" s="22"/>
    </row>
    <row r="596" spans="1:10" ht="13.2" x14ac:dyDescent="0.25">
      <c r="A596" s="17"/>
      <c r="B596" s="17"/>
      <c r="D596" s="18"/>
      <c r="E596" s="18"/>
      <c r="F596" s="18"/>
      <c r="G596" s="18"/>
      <c r="H596" s="58"/>
      <c r="I596" s="21"/>
      <c r="J596" s="22"/>
    </row>
    <row r="597" spans="1:10" ht="13.2" x14ac:dyDescent="0.25">
      <c r="A597" s="17"/>
      <c r="B597" s="17"/>
      <c r="D597" s="18"/>
      <c r="E597" s="18"/>
      <c r="F597" s="18"/>
      <c r="G597" s="18"/>
      <c r="H597" s="58"/>
      <c r="I597" s="21"/>
      <c r="J597" s="22"/>
    </row>
    <row r="598" spans="1:10" ht="13.2" x14ac:dyDescent="0.25">
      <c r="A598" s="17"/>
      <c r="B598" s="17"/>
      <c r="D598" s="18"/>
      <c r="E598" s="18"/>
      <c r="F598" s="18"/>
      <c r="G598" s="18"/>
      <c r="H598" s="58"/>
      <c r="I598" s="21"/>
      <c r="J598" s="22"/>
    </row>
    <row r="599" spans="1:10" ht="13.2" x14ac:dyDescent="0.25">
      <c r="A599" s="17"/>
      <c r="B599" s="17"/>
      <c r="D599" s="18"/>
      <c r="E599" s="18"/>
      <c r="F599" s="18"/>
      <c r="G599" s="18"/>
      <c r="H599" s="58"/>
      <c r="I599" s="21"/>
      <c r="J599" s="22"/>
    </row>
    <row r="600" spans="1:10" ht="13.2" x14ac:dyDescent="0.25">
      <c r="A600" s="17"/>
      <c r="B600" s="17"/>
      <c r="D600" s="18"/>
      <c r="E600" s="18"/>
      <c r="F600" s="18"/>
      <c r="G600" s="18"/>
      <c r="H600" s="58"/>
      <c r="I600" s="21"/>
      <c r="J600" s="22"/>
    </row>
    <row r="601" spans="1:10" ht="13.2" x14ac:dyDescent="0.25">
      <c r="A601" s="17"/>
      <c r="B601" s="17"/>
      <c r="D601" s="18"/>
      <c r="E601" s="18"/>
      <c r="F601" s="18"/>
      <c r="G601" s="18"/>
      <c r="H601" s="58"/>
      <c r="I601" s="21"/>
      <c r="J601" s="22"/>
    </row>
    <row r="602" spans="1:10" ht="13.2" x14ac:dyDescent="0.25">
      <c r="A602" s="17"/>
      <c r="B602" s="17"/>
      <c r="D602" s="18"/>
      <c r="E602" s="18"/>
      <c r="F602" s="18"/>
      <c r="G602" s="18"/>
      <c r="H602" s="58"/>
      <c r="I602" s="21"/>
      <c r="J602" s="22"/>
    </row>
    <row r="603" spans="1:10" ht="13.2" x14ac:dyDescent="0.25">
      <c r="A603" s="17"/>
      <c r="B603" s="17"/>
      <c r="D603" s="18"/>
      <c r="E603" s="18"/>
      <c r="F603" s="18"/>
      <c r="G603" s="18"/>
      <c r="H603" s="58"/>
      <c r="I603" s="21"/>
      <c r="J603" s="22"/>
    </row>
    <row r="604" spans="1:10" ht="13.2" x14ac:dyDescent="0.25">
      <c r="A604" s="17"/>
      <c r="B604" s="17"/>
      <c r="D604" s="18"/>
      <c r="E604" s="18"/>
      <c r="F604" s="18"/>
      <c r="G604" s="18"/>
      <c r="H604" s="58"/>
      <c r="I604" s="21"/>
      <c r="J604" s="22"/>
    </row>
    <row r="605" spans="1:10" ht="13.2" x14ac:dyDescent="0.25">
      <c r="A605" s="17"/>
      <c r="B605" s="17"/>
      <c r="D605" s="18"/>
      <c r="E605" s="18"/>
      <c r="F605" s="18"/>
      <c r="G605" s="18"/>
      <c r="H605" s="58"/>
      <c r="I605" s="21"/>
      <c r="J605" s="22"/>
    </row>
    <row r="606" spans="1:10" ht="13.2" x14ac:dyDescent="0.25">
      <c r="A606" s="17"/>
      <c r="B606" s="17"/>
      <c r="D606" s="18"/>
      <c r="E606" s="18"/>
      <c r="F606" s="18"/>
      <c r="G606" s="18"/>
      <c r="H606" s="58"/>
      <c r="I606" s="21"/>
      <c r="J606" s="22"/>
    </row>
    <row r="607" spans="1:10" ht="13.2" x14ac:dyDescent="0.25">
      <c r="A607" s="17"/>
      <c r="B607" s="17"/>
      <c r="D607" s="18"/>
      <c r="E607" s="18"/>
      <c r="F607" s="18"/>
      <c r="G607" s="18"/>
      <c r="H607" s="58"/>
      <c r="I607" s="21"/>
      <c r="J607" s="22"/>
    </row>
    <row r="608" spans="1:10" ht="13.2" x14ac:dyDescent="0.25">
      <c r="A608" s="17"/>
      <c r="B608" s="17"/>
      <c r="D608" s="18"/>
      <c r="E608" s="18"/>
      <c r="F608" s="18"/>
      <c r="G608" s="18"/>
      <c r="H608" s="58"/>
      <c r="I608" s="21"/>
      <c r="J608" s="22"/>
    </row>
    <row r="609" spans="1:10" ht="13.2" x14ac:dyDescent="0.25">
      <c r="A609" s="17"/>
      <c r="B609" s="17"/>
      <c r="D609" s="18"/>
      <c r="E609" s="18"/>
      <c r="F609" s="18"/>
      <c r="G609" s="18"/>
      <c r="H609" s="58"/>
      <c r="I609" s="21"/>
      <c r="J609" s="22"/>
    </row>
    <row r="610" spans="1:10" ht="13.2" x14ac:dyDescent="0.25">
      <c r="A610" s="17"/>
      <c r="B610" s="17"/>
      <c r="D610" s="18"/>
      <c r="E610" s="18"/>
      <c r="F610" s="18"/>
      <c r="G610" s="18"/>
      <c r="H610" s="58"/>
      <c r="I610" s="21"/>
      <c r="J610" s="22"/>
    </row>
    <row r="611" spans="1:10" ht="13.2" x14ac:dyDescent="0.25">
      <c r="A611" s="17"/>
      <c r="B611" s="17"/>
      <c r="D611" s="18"/>
      <c r="E611" s="18"/>
      <c r="F611" s="18"/>
      <c r="G611" s="18"/>
      <c r="H611" s="58"/>
      <c r="I611" s="21"/>
      <c r="J611" s="22"/>
    </row>
    <row r="612" spans="1:10" ht="13.2" x14ac:dyDescent="0.25">
      <c r="A612" s="17"/>
      <c r="B612" s="17"/>
      <c r="D612" s="18"/>
      <c r="E612" s="18"/>
      <c r="F612" s="18"/>
      <c r="G612" s="18"/>
      <c r="H612" s="58"/>
      <c r="I612" s="21"/>
      <c r="J612" s="22"/>
    </row>
    <row r="613" spans="1:10" ht="13.2" x14ac:dyDescent="0.25">
      <c r="A613" s="17"/>
      <c r="B613" s="17"/>
      <c r="D613" s="18"/>
      <c r="E613" s="18"/>
      <c r="F613" s="18"/>
      <c r="G613" s="18"/>
      <c r="H613" s="58"/>
      <c r="I613" s="21"/>
      <c r="J613" s="22"/>
    </row>
    <row r="614" spans="1:10" ht="13.2" x14ac:dyDescent="0.25">
      <c r="A614" s="17"/>
      <c r="B614" s="17"/>
      <c r="D614" s="18"/>
      <c r="E614" s="18"/>
      <c r="F614" s="18"/>
      <c r="G614" s="18"/>
      <c r="H614" s="58"/>
      <c r="I614" s="21"/>
      <c r="J614" s="22"/>
    </row>
    <row r="615" spans="1:10" ht="13.2" x14ac:dyDescent="0.25">
      <c r="A615" s="17"/>
      <c r="B615" s="17"/>
      <c r="D615" s="18"/>
      <c r="E615" s="18"/>
      <c r="F615" s="18"/>
      <c r="G615" s="18"/>
      <c r="H615" s="58"/>
      <c r="I615" s="21"/>
      <c r="J615" s="22"/>
    </row>
    <row r="616" spans="1:10" ht="13.2" x14ac:dyDescent="0.25">
      <c r="A616" s="17"/>
      <c r="B616" s="17"/>
      <c r="D616" s="18"/>
      <c r="E616" s="18"/>
      <c r="F616" s="18"/>
      <c r="G616" s="18"/>
      <c r="H616" s="58"/>
      <c r="I616" s="21"/>
      <c r="J616" s="22"/>
    </row>
    <row r="617" spans="1:10" ht="13.2" x14ac:dyDescent="0.25">
      <c r="A617" s="17"/>
      <c r="B617" s="17"/>
      <c r="D617" s="18"/>
      <c r="E617" s="18"/>
      <c r="F617" s="18"/>
      <c r="G617" s="18"/>
      <c r="H617" s="58"/>
      <c r="I617" s="21"/>
      <c r="J617" s="22"/>
    </row>
    <row r="618" spans="1:10" ht="13.2" x14ac:dyDescent="0.25">
      <c r="A618" s="17"/>
      <c r="B618" s="17"/>
      <c r="D618" s="18"/>
      <c r="E618" s="18"/>
      <c r="F618" s="18"/>
      <c r="G618" s="18"/>
      <c r="H618" s="58"/>
      <c r="I618" s="21"/>
      <c r="J618" s="22"/>
    </row>
    <row r="619" spans="1:10" ht="13.2" x14ac:dyDescent="0.25">
      <c r="A619" s="17"/>
      <c r="B619" s="17"/>
      <c r="D619" s="18"/>
      <c r="E619" s="18"/>
      <c r="F619" s="18"/>
      <c r="G619" s="18"/>
      <c r="H619" s="58"/>
      <c r="I619" s="21"/>
      <c r="J619" s="22"/>
    </row>
    <row r="620" spans="1:10" ht="13.2" x14ac:dyDescent="0.25">
      <c r="A620" s="17"/>
      <c r="B620" s="17"/>
      <c r="D620" s="18"/>
      <c r="E620" s="18"/>
      <c r="F620" s="18"/>
      <c r="G620" s="18"/>
      <c r="H620" s="58"/>
      <c r="I620" s="21"/>
      <c r="J620" s="22"/>
    </row>
    <row r="621" spans="1:10" ht="13.2" x14ac:dyDescent="0.25">
      <c r="A621" s="17"/>
      <c r="B621" s="17"/>
      <c r="D621" s="18"/>
      <c r="E621" s="18"/>
      <c r="F621" s="18"/>
      <c r="G621" s="18"/>
      <c r="H621" s="58"/>
      <c r="I621" s="21"/>
      <c r="J621" s="22"/>
    </row>
    <row r="622" spans="1:10" ht="13.2" x14ac:dyDescent="0.25">
      <c r="A622" s="17"/>
      <c r="B622" s="17"/>
      <c r="D622" s="18"/>
      <c r="E622" s="18"/>
      <c r="F622" s="18"/>
      <c r="G622" s="18"/>
      <c r="H622" s="58"/>
      <c r="I622" s="21"/>
      <c r="J622" s="22"/>
    </row>
    <row r="623" spans="1:10" ht="13.2" x14ac:dyDescent="0.25">
      <c r="A623" s="17"/>
      <c r="B623" s="17"/>
      <c r="D623" s="18"/>
      <c r="E623" s="18"/>
      <c r="F623" s="18"/>
      <c r="G623" s="18"/>
      <c r="H623" s="58"/>
      <c r="I623" s="21"/>
      <c r="J623" s="22"/>
    </row>
    <row r="624" spans="1:10" ht="13.2" x14ac:dyDescent="0.25">
      <c r="A624" s="17"/>
      <c r="B624" s="17"/>
      <c r="D624" s="18"/>
      <c r="E624" s="18"/>
      <c r="F624" s="18"/>
      <c r="G624" s="18"/>
      <c r="H624" s="58"/>
      <c r="I624" s="21"/>
      <c r="J624" s="22"/>
    </row>
    <row r="625" spans="1:10" ht="13.2" x14ac:dyDescent="0.25">
      <c r="A625" s="17"/>
      <c r="B625" s="17"/>
      <c r="D625" s="18"/>
      <c r="E625" s="18"/>
      <c r="F625" s="18"/>
      <c r="G625" s="18"/>
      <c r="H625" s="58"/>
      <c r="I625" s="21"/>
      <c r="J625" s="22"/>
    </row>
    <row r="626" spans="1:10" ht="13.2" x14ac:dyDescent="0.25">
      <c r="A626" s="17"/>
      <c r="B626" s="17"/>
      <c r="D626" s="18"/>
      <c r="E626" s="18"/>
      <c r="F626" s="18"/>
      <c r="G626" s="18"/>
      <c r="H626" s="58"/>
      <c r="I626" s="21"/>
      <c r="J626" s="22"/>
    </row>
    <row r="627" spans="1:10" ht="13.2" x14ac:dyDescent="0.25">
      <c r="A627" s="17"/>
      <c r="B627" s="17"/>
      <c r="D627" s="18"/>
      <c r="E627" s="18"/>
      <c r="F627" s="18"/>
      <c r="G627" s="18"/>
      <c r="H627" s="58"/>
      <c r="I627" s="21"/>
      <c r="J627" s="22"/>
    </row>
    <row r="628" spans="1:10" ht="13.2" x14ac:dyDescent="0.25">
      <c r="A628" s="17"/>
      <c r="B628" s="17"/>
      <c r="D628" s="18"/>
      <c r="E628" s="18"/>
      <c r="F628" s="18"/>
      <c r="G628" s="18"/>
      <c r="H628" s="58"/>
      <c r="I628" s="21"/>
      <c r="J628" s="22"/>
    </row>
    <row r="629" spans="1:10" ht="13.2" x14ac:dyDescent="0.25">
      <c r="A629" s="17"/>
      <c r="B629" s="17"/>
      <c r="D629" s="18"/>
      <c r="E629" s="18"/>
      <c r="F629" s="18"/>
      <c r="G629" s="18"/>
      <c r="H629" s="58"/>
      <c r="I629" s="21"/>
      <c r="J629" s="22"/>
    </row>
    <row r="630" spans="1:10" ht="13.2" x14ac:dyDescent="0.25">
      <c r="A630" s="17"/>
      <c r="B630" s="17"/>
      <c r="D630" s="18"/>
      <c r="E630" s="18"/>
      <c r="F630" s="18"/>
      <c r="G630" s="18"/>
      <c r="H630" s="58"/>
      <c r="I630" s="21"/>
      <c r="J630" s="22"/>
    </row>
    <row r="631" spans="1:10" ht="13.2" x14ac:dyDescent="0.25">
      <c r="A631" s="17"/>
      <c r="B631" s="17"/>
      <c r="D631" s="18"/>
      <c r="E631" s="18"/>
      <c r="F631" s="18"/>
      <c r="G631" s="18"/>
      <c r="H631" s="58"/>
      <c r="I631" s="21"/>
      <c r="J631" s="22"/>
    </row>
    <row r="632" spans="1:10" ht="13.2" x14ac:dyDescent="0.25">
      <c r="A632" s="17"/>
      <c r="B632" s="17"/>
      <c r="D632" s="18"/>
      <c r="E632" s="18"/>
      <c r="F632" s="18"/>
      <c r="G632" s="18"/>
      <c r="H632" s="58"/>
      <c r="I632" s="21"/>
      <c r="J632" s="22"/>
    </row>
    <row r="633" spans="1:10" ht="13.2" x14ac:dyDescent="0.25">
      <c r="A633" s="17"/>
      <c r="B633" s="17"/>
      <c r="D633" s="18"/>
      <c r="E633" s="18"/>
      <c r="F633" s="18"/>
      <c r="G633" s="18"/>
      <c r="H633" s="58"/>
      <c r="I633" s="21"/>
      <c r="J633" s="22"/>
    </row>
    <row r="634" spans="1:10" ht="13.2" x14ac:dyDescent="0.25">
      <c r="A634" s="17"/>
      <c r="B634" s="17"/>
      <c r="D634" s="18"/>
      <c r="E634" s="18"/>
      <c r="F634" s="18"/>
      <c r="G634" s="18"/>
      <c r="H634" s="58"/>
      <c r="I634" s="21"/>
      <c r="J634" s="22"/>
    </row>
    <row r="635" spans="1:10" ht="13.2" x14ac:dyDescent="0.25">
      <c r="A635" s="17"/>
      <c r="B635" s="17"/>
      <c r="D635" s="18"/>
      <c r="E635" s="18"/>
      <c r="F635" s="18"/>
      <c r="G635" s="18"/>
      <c r="H635" s="58"/>
      <c r="I635" s="21"/>
      <c r="J635" s="22"/>
    </row>
    <row r="636" spans="1:10" ht="13.2" x14ac:dyDescent="0.25">
      <c r="A636" s="17"/>
      <c r="B636" s="17"/>
      <c r="D636" s="18"/>
      <c r="E636" s="18"/>
      <c r="F636" s="18"/>
      <c r="G636" s="18"/>
      <c r="H636" s="58"/>
      <c r="I636" s="21"/>
      <c r="J636" s="22"/>
    </row>
    <row r="637" spans="1:10" ht="13.2" x14ac:dyDescent="0.25">
      <c r="A637" s="17"/>
      <c r="B637" s="17"/>
      <c r="D637" s="18"/>
      <c r="E637" s="18"/>
      <c r="F637" s="18"/>
      <c r="G637" s="18"/>
      <c r="H637" s="58"/>
      <c r="I637" s="21"/>
      <c r="J637" s="22"/>
    </row>
    <row r="638" spans="1:10" ht="13.2" x14ac:dyDescent="0.25">
      <c r="A638" s="17"/>
      <c r="B638" s="17"/>
      <c r="D638" s="18"/>
      <c r="E638" s="18"/>
      <c r="F638" s="18"/>
      <c r="G638" s="18"/>
      <c r="H638" s="58"/>
      <c r="I638" s="21"/>
      <c r="J638" s="22"/>
    </row>
    <row r="639" spans="1:10" ht="13.2" x14ac:dyDescent="0.25">
      <c r="A639" s="17"/>
      <c r="B639" s="17"/>
      <c r="D639" s="18"/>
      <c r="E639" s="18"/>
      <c r="F639" s="18"/>
      <c r="G639" s="18"/>
      <c r="H639" s="58"/>
      <c r="I639" s="21"/>
      <c r="J639" s="22"/>
    </row>
    <row r="640" spans="1:10" ht="13.2" x14ac:dyDescent="0.25">
      <c r="A640" s="17"/>
      <c r="B640" s="17"/>
      <c r="D640" s="18"/>
      <c r="E640" s="18"/>
      <c r="F640" s="18"/>
      <c r="G640" s="18"/>
      <c r="H640" s="58"/>
      <c r="I640" s="21"/>
      <c r="J640" s="22"/>
    </row>
    <row r="641" spans="1:10" ht="13.2" x14ac:dyDescent="0.25">
      <c r="A641" s="17"/>
      <c r="B641" s="17"/>
      <c r="D641" s="18"/>
      <c r="E641" s="18"/>
      <c r="F641" s="18"/>
      <c r="G641" s="18"/>
      <c r="H641" s="58"/>
      <c r="I641" s="21"/>
      <c r="J641" s="22"/>
    </row>
    <row r="642" spans="1:10" ht="13.2" x14ac:dyDescent="0.25">
      <c r="A642" s="17"/>
      <c r="B642" s="17"/>
      <c r="D642" s="18"/>
      <c r="E642" s="18"/>
      <c r="F642" s="18"/>
      <c r="G642" s="18"/>
      <c r="H642" s="58"/>
      <c r="I642" s="21"/>
      <c r="J642" s="22"/>
    </row>
    <row r="643" spans="1:10" ht="13.2" x14ac:dyDescent="0.25">
      <c r="A643" s="17"/>
      <c r="B643" s="17"/>
      <c r="D643" s="18"/>
      <c r="E643" s="18"/>
      <c r="F643" s="18"/>
      <c r="G643" s="18"/>
      <c r="H643" s="58"/>
      <c r="I643" s="21"/>
      <c r="J643" s="22"/>
    </row>
    <row r="644" spans="1:10" ht="13.2" x14ac:dyDescent="0.25">
      <c r="A644" s="17"/>
      <c r="B644" s="17"/>
      <c r="D644" s="18"/>
      <c r="E644" s="18"/>
      <c r="F644" s="18"/>
      <c r="G644" s="18"/>
      <c r="H644" s="58"/>
      <c r="I644" s="21"/>
      <c r="J644" s="22"/>
    </row>
    <row r="645" spans="1:10" ht="13.2" x14ac:dyDescent="0.25">
      <c r="A645" s="17"/>
      <c r="B645" s="17"/>
      <c r="D645" s="18"/>
      <c r="E645" s="18"/>
      <c r="F645" s="18"/>
      <c r="G645" s="18"/>
      <c r="H645" s="58"/>
      <c r="I645" s="21"/>
      <c r="J645" s="22"/>
    </row>
    <row r="646" spans="1:10" ht="13.2" x14ac:dyDescent="0.25">
      <c r="A646" s="17"/>
      <c r="B646" s="17"/>
      <c r="D646" s="18"/>
      <c r="E646" s="18"/>
      <c r="F646" s="18"/>
      <c r="G646" s="18"/>
      <c r="H646" s="58"/>
      <c r="I646" s="21"/>
      <c r="J646" s="22"/>
    </row>
    <row r="647" spans="1:10" ht="13.2" x14ac:dyDescent="0.25">
      <c r="A647" s="17"/>
      <c r="B647" s="17"/>
      <c r="D647" s="18"/>
      <c r="E647" s="18"/>
      <c r="F647" s="18"/>
      <c r="G647" s="18"/>
      <c r="H647" s="58"/>
      <c r="I647" s="21"/>
      <c r="J647" s="22"/>
    </row>
    <row r="648" spans="1:10" ht="13.2" x14ac:dyDescent="0.25">
      <c r="A648" s="17"/>
      <c r="B648" s="17"/>
      <c r="D648" s="18"/>
      <c r="E648" s="18"/>
      <c r="F648" s="18"/>
      <c r="G648" s="18"/>
      <c r="H648" s="58"/>
      <c r="I648" s="21"/>
      <c r="J648" s="22"/>
    </row>
    <row r="649" spans="1:10" ht="13.2" x14ac:dyDescent="0.25">
      <c r="A649" s="17"/>
      <c r="B649" s="17"/>
      <c r="D649" s="18"/>
      <c r="E649" s="18"/>
      <c r="F649" s="18"/>
      <c r="G649" s="18"/>
      <c r="H649" s="58"/>
      <c r="I649" s="21"/>
      <c r="J649" s="22"/>
    </row>
    <row r="650" spans="1:10" ht="13.2" x14ac:dyDescent="0.25">
      <c r="A650" s="17"/>
      <c r="B650" s="17"/>
      <c r="D650" s="18"/>
      <c r="E650" s="18"/>
      <c r="F650" s="18"/>
      <c r="G650" s="18"/>
      <c r="H650" s="58"/>
      <c r="I650" s="21"/>
      <c r="J650" s="22"/>
    </row>
    <row r="651" spans="1:10" ht="13.2" x14ac:dyDescent="0.25">
      <c r="A651" s="17"/>
      <c r="B651" s="17"/>
      <c r="D651" s="18"/>
      <c r="E651" s="18"/>
      <c r="F651" s="18"/>
      <c r="G651" s="18"/>
      <c r="H651" s="58"/>
      <c r="I651" s="21"/>
      <c r="J651" s="22"/>
    </row>
    <row r="652" spans="1:10" ht="13.2" x14ac:dyDescent="0.25">
      <c r="A652" s="17"/>
      <c r="B652" s="17"/>
      <c r="D652" s="18"/>
      <c r="E652" s="18"/>
      <c r="F652" s="18"/>
      <c r="G652" s="18"/>
      <c r="H652" s="58"/>
      <c r="I652" s="21"/>
      <c r="J652" s="22"/>
    </row>
    <row r="653" spans="1:10" ht="13.2" x14ac:dyDescent="0.25">
      <c r="A653" s="17"/>
      <c r="B653" s="17"/>
      <c r="D653" s="18"/>
      <c r="E653" s="18"/>
      <c r="F653" s="18"/>
      <c r="G653" s="18"/>
      <c r="H653" s="58"/>
      <c r="I653" s="21"/>
      <c r="J653" s="22"/>
    </row>
    <row r="654" spans="1:10" ht="13.2" x14ac:dyDescent="0.25">
      <c r="A654" s="17"/>
      <c r="B654" s="17"/>
      <c r="D654" s="18"/>
      <c r="E654" s="18"/>
      <c r="F654" s="18"/>
      <c r="G654" s="18"/>
      <c r="H654" s="58"/>
      <c r="I654" s="21"/>
      <c r="J654" s="22"/>
    </row>
    <row r="655" spans="1:10" ht="13.2" x14ac:dyDescent="0.25">
      <c r="A655" s="17"/>
      <c r="B655" s="17"/>
      <c r="D655" s="18"/>
      <c r="E655" s="18"/>
      <c r="F655" s="18"/>
      <c r="G655" s="18"/>
      <c r="H655" s="58"/>
      <c r="I655" s="21"/>
      <c r="J655" s="22"/>
    </row>
    <row r="656" spans="1:10" ht="13.2" x14ac:dyDescent="0.25">
      <c r="A656" s="17"/>
      <c r="B656" s="17"/>
      <c r="D656" s="18"/>
      <c r="E656" s="18"/>
      <c r="F656" s="18"/>
      <c r="G656" s="18"/>
      <c r="H656" s="58"/>
      <c r="I656" s="21"/>
      <c r="J656" s="22"/>
    </row>
    <row r="657" spans="1:10" ht="13.2" x14ac:dyDescent="0.25">
      <c r="A657" s="17"/>
      <c r="B657" s="17"/>
      <c r="D657" s="18"/>
      <c r="E657" s="18"/>
      <c r="F657" s="18"/>
      <c r="G657" s="18"/>
      <c r="H657" s="58"/>
      <c r="I657" s="21"/>
      <c r="J657" s="22"/>
    </row>
    <row r="658" spans="1:10" ht="13.2" x14ac:dyDescent="0.25">
      <c r="A658" s="17"/>
      <c r="B658" s="17"/>
      <c r="D658" s="18"/>
      <c r="E658" s="18"/>
      <c r="F658" s="18"/>
      <c r="G658" s="18"/>
      <c r="H658" s="58"/>
      <c r="I658" s="21"/>
      <c r="J658" s="22"/>
    </row>
    <row r="659" spans="1:10" ht="13.2" x14ac:dyDescent="0.25">
      <c r="A659" s="17"/>
      <c r="B659" s="17"/>
      <c r="D659" s="18"/>
      <c r="E659" s="18"/>
      <c r="F659" s="18"/>
      <c r="G659" s="18"/>
      <c r="H659" s="58"/>
      <c r="I659" s="21"/>
      <c r="J659" s="22"/>
    </row>
    <row r="660" spans="1:10" ht="13.2" x14ac:dyDescent="0.25">
      <c r="A660" s="17"/>
      <c r="B660" s="17"/>
      <c r="D660" s="18"/>
      <c r="E660" s="18"/>
      <c r="F660" s="18"/>
      <c r="G660" s="18"/>
      <c r="H660" s="58"/>
      <c r="I660" s="21"/>
      <c r="J660" s="22"/>
    </row>
    <row r="661" spans="1:10" ht="13.2" x14ac:dyDescent="0.25">
      <c r="A661" s="17"/>
      <c r="B661" s="17"/>
      <c r="D661" s="18"/>
      <c r="E661" s="18"/>
      <c r="F661" s="18"/>
      <c r="G661" s="18"/>
      <c r="H661" s="58"/>
      <c r="I661" s="21"/>
      <c r="J661" s="22"/>
    </row>
    <row r="662" spans="1:10" ht="13.2" x14ac:dyDescent="0.25">
      <c r="A662" s="17"/>
      <c r="B662" s="17"/>
      <c r="D662" s="18"/>
      <c r="E662" s="18"/>
      <c r="F662" s="18"/>
      <c r="G662" s="18"/>
      <c r="H662" s="58"/>
      <c r="I662" s="21"/>
      <c r="J662" s="22"/>
    </row>
    <row r="663" spans="1:10" ht="13.2" x14ac:dyDescent="0.25">
      <c r="A663" s="17"/>
      <c r="B663" s="17"/>
      <c r="D663" s="18"/>
      <c r="E663" s="18"/>
      <c r="F663" s="18"/>
      <c r="G663" s="18"/>
      <c r="H663" s="58"/>
      <c r="I663" s="21"/>
      <c r="J663" s="22"/>
    </row>
    <row r="664" spans="1:10" ht="13.2" x14ac:dyDescent="0.25">
      <c r="A664" s="17"/>
      <c r="B664" s="17"/>
      <c r="D664" s="18"/>
      <c r="E664" s="18"/>
      <c r="F664" s="18"/>
      <c r="G664" s="18"/>
      <c r="H664" s="58"/>
      <c r="I664" s="21"/>
      <c r="J664" s="22"/>
    </row>
    <row r="665" spans="1:10" ht="13.2" x14ac:dyDescent="0.25">
      <c r="A665" s="17"/>
      <c r="B665" s="17"/>
      <c r="D665" s="18"/>
      <c r="E665" s="18"/>
      <c r="F665" s="18"/>
      <c r="G665" s="18"/>
      <c r="H665" s="58"/>
      <c r="I665" s="21"/>
      <c r="J665" s="22"/>
    </row>
    <row r="666" spans="1:10" ht="13.2" x14ac:dyDescent="0.25">
      <c r="A666" s="17"/>
      <c r="B666" s="17"/>
      <c r="D666" s="18"/>
      <c r="E666" s="18"/>
      <c r="F666" s="18"/>
      <c r="G666" s="18"/>
      <c r="H666" s="58"/>
      <c r="I666" s="21"/>
      <c r="J666" s="22"/>
    </row>
    <row r="667" spans="1:10" ht="13.2" x14ac:dyDescent="0.25">
      <c r="A667" s="17"/>
      <c r="B667" s="17"/>
      <c r="D667" s="18"/>
      <c r="E667" s="18"/>
      <c r="F667" s="18"/>
      <c r="G667" s="18"/>
      <c r="H667" s="58"/>
      <c r="I667" s="21"/>
      <c r="J667" s="22"/>
    </row>
    <row r="668" spans="1:10" ht="13.2" x14ac:dyDescent="0.25">
      <c r="A668" s="17"/>
      <c r="B668" s="17"/>
      <c r="D668" s="18"/>
      <c r="E668" s="18"/>
      <c r="F668" s="18"/>
      <c r="G668" s="18"/>
      <c r="H668" s="58"/>
      <c r="I668" s="21"/>
      <c r="J668" s="22"/>
    </row>
    <row r="669" spans="1:10" ht="13.2" x14ac:dyDescent="0.25">
      <c r="A669" s="17"/>
      <c r="B669" s="17"/>
      <c r="D669" s="18"/>
      <c r="E669" s="18"/>
      <c r="F669" s="18"/>
      <c r="G669" s="18"/>
      <c r="H669" s="58"/>
      <c r="I669" s="21"/>
      <c r="J669" s="22"/>
    </row>
    <row r="670" spans="1:10" ht="13.2" x14ac:dyDescent="0.25">
      <c r="A670" s="17"/>
      <c r="B670" s="17"/>
      <c r="D670" s="18"/>
      <c r="E670" s="18"/>
      <c r="F670" s="18"/>
      <c r="G670" s="18"/>
      <c r="H670" s="58"/>
      <c r="I670" s="21"/>
      <c r="J670" s="22"/>
    </row>
    <row r="671" spans="1:10" ht="13.2" x14ac:dyDescent="0.25">
      <c r="A671" s="17"/>
      <c r="B671" s="17"/>
      <c r="D671" s="18"/>
      <c r="E671" s="18"/>
      <c r="F671" s="18"/>
      <c r="G671" s="18"/>
      <c r="H671" s="58"/>
      <c r="I671" s="21"/>
      <c r="J671" s="22"/>
    </row>
    <row r="672" spans="1:10" ht="13.2" x14ac:dyDescent="0.25">
      <c r="A672" s="17"/>
      <c r="B672" s="17"/>
      <c r="D672" s="18"/>
      <c r="E672" s="18"/>
      <c r="F672" s="18"/>
      <c r="G672" s="18"/>
      <c r="H672" s="58"/>
      <c r="I672" s="21"/>
      <c r="J672" s="22"/>
    </row>
    <row r="673" spans="1:10" ht="13.2" x14ac:dyDescent="0.25">
      <c r="A673" s="17"/>
      <c r="B673" s="17"/>
      <c r="D673" s="18"/>
      <c r="E673" s="18"/>
      <c r="F673" s="18"/>
      <c r="G673" s="18"/>
      <c r="H673" s="58"/>
      <c r="I673" s="21"/>
      <c r="J673" s="22"/>
    </row>
    <row r="674" spans="1:10" ht="13.2" x14ac:dyDescent="0.25">
      <c r="A674" s="17"/>
      <c r="B674" s="17"/>
      <c r="D674" s="18"/>
      <c r="E674" s="18"/>
      <c r="F674" s="18"/>
      <c r="G674" s="18"/>
      <c r="H674" s="58"/>
      <c r="I674" s="21"/>
      <c r="J674" s="22"/>
    </row>
    <row r="675" spans="1:10" ht="13.2" x14ac:dyDescent="0.25">
      <c r="A675" s="17"/>
      <c r="B675" s="17"/>
      <c r="D675" s="18"/>
      <c r="E675" s="18"/>
      <c r="F675" s="18"/>
      <c r="G675" s="18"/>
      <c r="H675" s="58"/>
      <c r="I675" s="21"/>
      <c r="J675" s="22"/>
    </row>
    <row r="676" spans="1:10" ht="13.2" x14ac:dyDescent="0.25">
      <c r="A676" s="17"/>
      <c r="B676" s="17"/>
      <c r="D676" s="18"/>
      <c r="E676" s="18"/>
      <c r="F676" s="18"/>
      <c r="G676" s="18"/>
      <c r="H676" s="58"/>
      <c r="I676" s="21"/>
      <c r="J676" s="22"/>
    </row>
    <row r="677" spans="1:10" ht="13.2" x14ac:dyDescent="0.25">
      <c r="A677" s="17"/>
      <c r="B677" s="17"/>
      <c r="D677" s="18"/>
      <c r="E677" s="18"/>
      <c r="F677" s="18"/>
      <c r="G677" s="18"/>
      <c r="H677" s="58"/>
      <c r="I677" s="21"/>
      <c r="J677" s="22"/>
    </row>
    <row r="678" spans="1:10" ht="13.2" x14ac:dyDescent="0.25">
      <c r="A678" s="17"/>
      <c r="B678" s="17"/>
      <c r="D678" s="18"/>
      <c r="E678" s="18"/>
      <c r="F678" s="18"/>
      <c r="G678" s="18"/>
      <c r="H678" s="58"/>
      <c r="I678" s="21"/>
      <c r="J678" s="22"/>
    </row>
    <row r="679" spans="1:10" ht="13.2" x14ac:dyDescent="0.25">
      <c r="A679" s="17"/>
      <c r="B679" s="17"/>
      <c r="D679" s="18"/>
      <c r="E679" s="18"/>
      <c r="F679" s="18"/>
      <c r="G679" s="18"/>
      <c r="H679" s="58"/>
      <c r="I679" s="21"/>
      <c r="J679" s="22"/>
    </row>
    <row r="680" spans="1:10" ht="13.2" x14ac:dyDescent="0.25">
      <c r="A680" s="17"/>
      <c r="B680" s="17"/>
      <c r="D680" s="18"/>
      <c r="E680" s="18"/>
      <c r="F680" s="18"/>
      <c r="G680" s="18"/>
      <c r="H680" s="58"/>
      <c r="I680" s="21"/>
      <c r="J680" s="22"/>
    </row>
    <row r="681" spans="1:10" ht="13.2" x14ac:dyDescent="0.25">
      <c r="A681" s="17"/>
      <c r="B681" s="17"/>
      <c r="D681" s="18"/>
      <c r="E681" s="18"/>
      <c r="F681" s="18"/>
      <c r="G681" s="18"/>
      <c r="H681" s="58"/>
      <c r="I681" s="21"/>
      <c r="J681" s="22"/>
    </row>
    <row r="682" spans="1:10" ht="13.2" x14ac:dyDescent="0.25">
      <c r="A682" s="17"/>
      <c r="B682" s="17"/>
      <c r="D682" s="18"/>
      <c r="E682" s="18"/>
      <c r="F682" s="18"/>
      <c r="G682" s="18"/>
      <c r="H682" s="58"/>
      <c r="I682" s="21"/>
      <c r="J682" s="22"/>
    </row>
    <row r="683" spans="1:10" ht="13.2" x14ac:dyDescent="0.25">
      <c r="A683" s="17"/>
      <c r="B683" s="17"/>
      <c r="D683" s="18"/>
      <c r="E683" s="18"/>
      <c r="F683" s="18"/>
      <c r="G683" s="18"/>
      <c r="H683" s="58"/>
      <c r="I683" s="21"/>
      <c r="J683" s="22"/>
    </row>
    <row r="684" spans="1:10" ht="13.2" x14ac:dyDescent="0.25">
      <c r="A684" s="17"/>
      <c r="B684" s="17"/>
      <c r="D684" s="18"/>
      <c r="E684" s="18"/>
      <c r="F684" s="18"/>
      <c r="G684" s="18"/>
      <c r="H684" s="58"/>
      <c r="I684" s="21"/>
      <c r="J684" s="22"/>
    </row>
    <row r="685" spans="1:10" ht="13.2" x14ac:dyDescent="0.25">
      <c r="A685" s="17"/>
      <c r="B685" s="17"/>
      <c r="D685" s="18"/>
      <c r="E685" s="18"/>
      <c r="F685" s="18"/>
      <c r="G685" s="18"/>
      <c r="H685" s="58"/>
      <c r="I685" s="21"/>
      <c r="J685" s="22"/>
    </row>
    <row r="686" spans="1:10" ht="13.2" x14ac:dyDescent="0.25">
      <c r="A686" s="17"/>
      <c r="B686" s="17"/>
      <c r="D686" s="18"/>
      <c r="E686" s="18"/>
      <c r="F686" s="18"/>
      <c r="G686" s="18"/>
      <c r="H686" s="58"/>
      <c r="I686" s="21"/>
      <c r="J686" s="22"/>
    </row>
    <row r="687" spans="1:10" ht="13.2" x14ac:dyDescent="0.25">
      <c r="A687" s="17"/>
      <c r="B687" s="17"/>
      <c r="D687" s="18"/>
      <c r="E687" s="18"/>
      <c r="F687" s="18"/>
      <c r="G687" s="18"/>
      <c r="H687" s="58"/>
      <c r="I687" s="21"/>
      <c r="J687" s="22"/>
    </row>
    <row r="688" spans="1:10" ht="13.2" x14ac:dyDescent="0.25">
      <c r="A688" s="17"/>
      <c r="B688" s="17"/>
      <c r="D688" s="18"/>
      <c r="E688" s="18"/>
      <c r="F688" s="18"/>
      <c r="G688" s="18"/>
      <c r="H688" s="58"/>
      <c r="I688" s="21"/>
      <c r="J688" s="22"/>
    </row>
    <row r="689" spans="1:10" ht="13.2" x14ac:dyDescent="0.25">
      <c r="A689" s="17"/>
      <c r="B689" s="17"/>
      <c r="D689" s="18"/>
      <c r="E689" s="18"/>
      <c r="F689" s="18"/>
      <c r="G689" s="18"/>
      <c r="H689" s="58"/>
      <c r="I689" s="21"/>
      <c r="J689" s="22"/>
    </row>
    <row r="690" spans="1:10" ht="13.2" x14ac:dyDescent="0.25">
      <c r="A690" s="17"/>
      <c r="B690" s="17"/>
      <c r="D690" s="18"/>
      <c r="E690" s="18"/>
      <c r="F690" s="18"/>
      <c r="G690" s="18"/>
      <c r="H690" s="58"/>
      <c r="I690" s="21"/>
      <c r="J690" s="22"/>
    </row>
    <row r="691" spans="1:10" ht="13.2" x14ac:dyDescent="0.25">
      <c r="A691" s="17"/>
      <c r="B691" s="17"/>
      <c r="D691" s="18"/>
      <c r="E691" s="18"/>
      <c r="F691" s="18"/>
      <c r="G691" s="18"/>
      <c r="H691" s="58"/>
      <c r="I691" s="21"/>
      <c r="J691" s="22"/>
    </row>
    <row r="692" spans="1:10" ht="13.2" x14ac:dyDescent="0.25">
      <c r="A692" s="17"/>
      <c r="B692" s="17"/>
      <c r="D692" s="18"/>
      <c r="E692" s="18"/>
      <c r="F692" s="18"/>
      <c r="G692" s="18"/>
      <c r="H692" s="58"/>
      <c r="I692" s="21"/>
      <c r="J692" s="22"/>
    </row>
    <row r="693" spans="1:10" ht="13.2" x14ac:dyDescent="0.25">
      <c r="A693" s="17"/>
      <c r="B693" s="17"/>
      <c r="D693" s="18"/>
      <c r="E693" s="18"/>
      <c r="F693" s="18"/>
      <c r="G693" s="18"/>
      <c r="H693" s="58"/>
      <c r="I693" s="21"/>
      <c r="J693" s="22"/>
    </row>
    <row r="694" spans="1:10" ht="13.2" x14ac:dyDescent="0.25">
      <c r="A694" s="17"/>
      <c r="B694" s="17"/>
      <c r="D694" s="18"/>
      <c r="E694" s="18"/>
      <c r="F694" s="18"/>
      <c r="G694" s="18"/>
      <c r="H694" s="58"/>
      <c r="I694" s="21"/>
      <c r="J694" s="22"/>
    </row>
    <row r="695" spans="1:10" ht="13.2" x14ac:dyDescent="0.25">
      <c r="A695" s="17"/>
      <c r="B695" s="17"/>
      <c r="D695" s="18"/>
      <c r="E695" s="18"/>
      <c r="F695" s="18"/>
      <c r="G695" s="18"/>
      <c r="H695" s="58"/>
      <c r="I695" s="21"/>
      <c r="J695" s="22"/>
    </row>
    <row r="696" spans="1:10" ht="13.2" x14ac:dyDescent="0.25">
      <c r="A696" s="17"/>
      <c r="B696" s="17"/>
      <c r="D696" s="18"/>
      <c r="E696" s="18"/>
      <c r="F696" s="18"/>
      <c r="G696" s="18"/>
      <c r="H696" s="58"/>
      <c r="I696" s="21"/>
      <c r="J696" s="22"/>
    </row>
    <row r="697" spans="1:10" ht="13.2" x14ac:dyDescent="0.25">
      <c r="A697" s="17"/>
      <c r="B697" s="17"/>
      <c r="D697" s="18"/>
      <c r="E697" s="18"/>
      <c r="F697" s="18"/>
      <c r="G697" s="18"/>
      <c r="H697" s="58"/>
      <c r="I697" s="21"/>
      <c r="J697" s="22"/>
    </row>
    <row r="698" spans="1:10" ht="13.2" x14ac:dyDescent="0.25">
      <c r="A698" s="17"/>
      <c r="B698" s="17"/>
      <c r="D698" s="18"/>
      <c r="E698" s="18"/>
      <c r="F698" s="18"/>
      <c r="G698" s="18"/>
      <c r="H698" s="58"/>
      <c r="I698" s="21"/>
      <c r="J698" s="22"/>
    </row>
    <row r="699" spans="1:10" ht="13.2" x14ac:dyDescent="0.25">
      <c r="A699" s="17"/>
      <c r="B699" s="17"/>
      <c r="D699" s="18"/>
      <c r="E699" s="18"/>
      <c r="F699" s="18"/>
      <c r="G699" s="18"/>
      <c r="H699" s="58"/>
      <c r="I699" s="21"/>
      <c r="J699" s="22"/>
    </row>
    <row r="700" spans="1:10" ht="13.2" x14ac:dyDescent="0.25">
      <c r="A700" s="17"/>
      <c r="B700" s="17"/>
      <c r="D700" s="18"/>
      <c r="E700" s="18"/>
      <c r="F700" s="18"/>
      <c r="G700" s="18"/>
      <c r="H700" s="58"/>
      <c r="I700" s="21"/>
      <c r="J700" s="22"/>
    </row>
    <row r="701" spans="1:10" ht="13.2" x14ac:dyDescent="0.25">
      <c r="A701" s="17"/>
      <c r="B701" s="17"/>
      <c r="D701" s="18"/>
      <c r="E701" s="18"/>
      <c r="F701" s="18"/>
      <c r="G701" s="18"/>
      <c r="H701" s="58"/>
      <c r="I701" s="21"/>
      <c r="J701" s="22"/>
    </row>
    <row r="702" spans="1:10" ht="13.2" x14ac:dyDescent="0.25">
      <c r="A702" s="17"/>
      <c r="B702" s="17"/>
      <c r="D702" s="18"/>
      <c r="E702" s="18"/>
      <c r="F702" s="18"/>
      <c r="G702" s="18"/>
      <c r="H702" s="58"/>
      <c r="I702" s="21"/>
      <c r="J702" s="22"/>
    </row>
    <row r="703" spans="1:10" ht="13.2" x14ac:dyDescent="0.25">
      <c r="A703" s="17"/>
      <c r="B703" s="17"/>
      <c r="D703" s="18"/>
      <c r="E703" s="18"/>
      <c r="F703" s="18"/>
      <c r="G703" s="18"/>
      <c r="H703" s="58"/>
      <c r="I703" s="21"/>
      <c r="J703" s="22"/>
    </row>
    <row r="704" spans="1:10" ht="13.2" x14ac:dyDescent="0.25">
      <c r="A704" s="17"/>
      <c r="B704" s="17"/>
      <c r="D704" s="18"/>
      <c r="E704" s="18"/>
      <c r="F704" s="18"/>
      <c r="G704" s="18"/>
      <c r="H704" s="58"/>
      <c r="I704" s="21"/>
      <c r="J704" s="22"/>
    </row>
    <row r="705" spans="1:10" ht="13.2" x14ac:dyDescent="0.25">
      <c r="A705" s="17"/>
      <c r="B705" s="17"/>
      <c r="D705" s="18"/>
      <c r="E705" s="18"/>
      <c r="F705" s="18"/>
      <c r="G705" s="18"/>
      <c r="H705" s="58"/>
      <c r="I705" s="21"/>
      <c r="J705" s="22"/>
    </row>
    <row r="706" spans="1:10" ht="13.2" x14ac:dyDescent="0.25">
      <c r="A706" s="17"/>
      <c r="B706" s="17"/>
      <c r="D706" s="18"/>
      <c r="E706" s="18"/>
      <c r="F706" s="18"/>
      <c r="G706" s="18"/>
      <c r="H706" s="58"/>
      <c r="I706" s="21"/>
      <c r="J706" s="22"/>
    </row>
    <row r="707" spans="1:10" ht="13.2" x14ac:dyDescent="0.25">
      <c r="A707" s="17"/>
      <c r="B707" s="17"/>
      <c r="D707" s="18"/>
      <c r="E707" s="18"/>
      <c r="F707" s="18"/>
      <c r="G707" s="18"/>
      <c r="H707" s="58"/>
      <c r="I707" s="21"/>
      <c r="J707" s="22"/>
    </row>
    <row r="708" spans="1:10" ht="13.2" x14ac:dyDescent="0.25">
      <c r="A708" s="17"/>
      <c r="B708" s="17"/>
      <c r="D708" s="18"/>
      <c r="E708" s="18"/>
      <c r="F708" s="18"/>
      <c r="G708" s="18"/>
      <c r="H708" s="58"/>
      <c r="I708" s="21"/>
      <c r="J708" s="22"/>
    </row>
    <row r="709" spans="1:10" ht="13.2" x14ac:dyDescent="0.25">
      <c r="A709" s="17"/>
      <c r="B709" s="17"/>
      <c r="D709" s="18"/>
      <c r="E709" s="18"/>
      <c r="F709" s="18"/>
      <c r="G709" s="18"/>
      <c r="H709" s="58"/>
      <c r="I709" s="21"/>
      <c r="J709" s="22"/>
    </row>
    <row r="710" spans="1:10" ht="13.2" x14ac:dyDescent="0.25">
      <c r="A710" s="17"/>
      <c r="B710" s="17"/>
      <c r="D710" s="18"/>
      <c r="E710" s="18"/>
      <c r="F710" s="18"/>
      <c r="G710" s="18"/>
      <c r="H710" s="58"/>
      <c r="I710" s="21"/>
      <c r="J710" s="22"/>
    </row>
    <row r="711" spans="1:10" ht="13.2" x14ac:dyDescent="0.25">
      <c r="A711" s="17"/>
      <c r="B711" s="17"/>
      <c r="D711" s="18"/>
      <c r="E711" s="18"/>
      <c r="F711" s="18"/>
      <c r="G711" s="18"/>
      <c r="H711" s="58"/>
      <c r="I711" s="21"/>
      <c r="J711" s="22"/>
    </row>
    <row r="712" spans="1:10" ht="13.2" x14ac:dyDescent="0.25">
      <c r="A712" s="17"/>
      <c r="B712" s="17"/>
      <c r="D712" s="18"/>
      <c r="E712" s="18"/>
      <c r="F712" s="18"/>
      <c r="G712" s="18"/>
      <c r="H712" s="58"/>
      <c r="I712" s="21"/>
      <c r="J712" s="22"/>
    </row>
    <row r="713" spans="1:10" ht="13.2" x14ac:dyDescent="0.25">
      <c r="A713" s="17"/>
      <c r="B713" s="17"/>
      <c r="D713" s="18"/>
      <c r="E713" s="18"/>
      <c r="F713" s="18"/>
      <c r="G713" s="18"/>
      <c r="H713" s="58"/>
      <c r="I713" s="21"/>
      <c r="J713" s="22"/>
    </row>
    <row r="714" spans="1:10" ht="13.2" x14ac:dyDescent="0.25">
      <c r="A714" s="17"/>
      <c r="B714" s="17"/>
      <c r="D714" s="18"/>
      <c r="E714" s="18"/>
      <c r="F714" s="18"/>
      <c r="G714" s="18"/>
      <c r="H714" s="58"/>
      <c r="I714" s="21"/>
      <c r="J714" s="22"/>
    </row>
    <row r="715" spans="1:10" ht="13.2" x14ac:dyDescent="0.25">
      <c r="A715" s="17"/>
      <c r="B715" s="17"/>
      <c r="D715" s="18"/>
      <c r="E715" s="18"/>
      <c r="F715" s="18"/>
      <c r="G715" s="18"/>
      <c r="H715" s="58"/>
      <c r="I715" s="21"/>
      <c r="J715" s="22"/>
    </row>
    <row r="716" spans="1:10" ht="13.2" x14ac:dyDescent="0.25">
      <c r="A716" s="17"/>
      <c r="B716" s="17"/>
      <c r="D716" s="18"/>
      <c r="E716" s="18"/>
      <c r="F716" s="18"/>
      <c r="G716" s="18"/>
      <c r="H716" s="58"/>
      <c r="I716" s="21"/>
      <c r="J716" s="22"/>
    </row>
    <row r="717" spans="1:10" ht="13.2" x14ac:dyDescent="0.25">
      <c r="A717" s="17"/>
      <c r="B717" s="17"/>
      <c r="D717" s="18"/>
      <c r="E717" s="18"/>
      <c r="F717" s="18"/>
      <c r="G717" s="18"/>
      <c r="H717" s="58"/>
      <c r="I717" s="21"/>
      <c r="J717" s="22"/>
    </row>
    <row r="718" spans="1:10" ht="13.2" x14ac:dyDescent="0.25">
      <c r="A718" s="17"/>
      <c r="B718" s="17"/>
      <c r="D718" s="18"/>
      <c r="E718" s="18"/>
      <c r="F718" s="18"/>
      <c r="G718" s="18"/>
      <c r="H718" s="58"/>
      <c r="I718" s="21"/>
      <c r="J718" s="22"/>
    </row>
    <row r="719" spans="1:10" ht="13.2" x14ac:dyDescent="0.25">
      <c r="A719" s="17"/>
      <c r="B719" s="17"/>
      <c r="D719" s="18"/>
      <c r="E719" s="18"/>
      <c r="F719" s="18"/>
      <c r="G719" s="18"/>
      <c r="H719" s="58"/>
      <c r="I719" s="21"/>
      <c r="J719" s="22"/>
    </row>
    <row r="720" spans="1:10" ht="13.2" x14ac:dyDescent="0.25">
      <c r="A720" s="17"/>
      <c r="B720" s="17"/>
      <c r="D720" s="18"/>
      <c r="E720" s="18"/>
      <c r="F720" s="18"/>
      <c r="G720" s="18"/>
      <c r="H720" s="58"/>
      <c r="I720" s="21"/>
      <c r="J720" s="22"/>
    </row>
    <row r="721" spans="1:10" ht="13.2" x14ac:dyDescent="0.25">
      <c r="A721" s="17"/>
      <c r="B721" s="17"/>
      <c r="D721" s="18"/>
      <c r="E721" s="18"/>
      <c r="F721" s="18"/>
      <c r="G721" s="18"/>
      <c r="H721" s="58"/>
      <c r="I721" s="21"/>
      <c r="J721" s="22"/>
    </row>
    <row r="722" spans="1:10" ht="13.2" x14ac:dyDescent="0.25">
      <c r="A722" s="17"/>
      <c r="B722" s="17"/>
      <c r="D722" s="18"/>
      <c r="E722" s="18"/>
      <c r="F722" s="18"/>
      <c r="G722" s="18"/>
      <c r="H722" s="58"/>
      <c r="I722" s="21"/>
      <c r="J722" s="22"/>
    </row>
    <row r="723" spans="1:10" ht="13.2" x14ac:dyDescent="0.25">
      <c r="A723" s="17"/>
      <c r="B723" s="17"/>
      <c r="D723" s="18"/>
      <c r="E723" s="18"/>
      <c r="F723" s="18"/>
      <c r="G723" s="18"/>
      <c r="H723" s="58"/>
      <c r="I723" s="21"/>
      <c r="J723" s="22"/>
    </row>
    <row r="724" spans="1:10" ht="13.2" x14ac:dyDescent="0.25">
      <c r="A724" s="17"/>
      <c r="B724" s="17"/>
      <c r="D724" s="18"/>
      <c r="E724" s="18"/>
      <c r="F724" s="18"/>
      <c r="G724" s="18"/>
      <c r="H724" s="58"/>
      <c r="I724" s="21"/>
      <c r="J724" s="22"/>
    </row>
    <row r="725" spans="1:10" ht="13.2" x14ac:dyDescent="0.25">
      <c r="A725" s="17"/>
      <c r="B725" s="17"/>
      <c r="D725" s="18"/>
      <c r="E725" s="18"/>
      <c r="F725" s="18"/>
      <c r="G725" s="18"/>
      <c r="H725" s="58"/>
      <c r="I725" s="21"/>
      <c r="J725" s="22"/>
    </row>
    <row r="726" spans="1:10" ht="13.2" x14ac:dyDescent="0.25">
      <c r="A726" s="17"/>
      <c r="B726" s="17"/>
      <c r="D726" s="18"/>
      <c r="E726" s="18"/>
      <c r="F726" s="18"/>
      <c r="G726" s="18"/>
      <c r="H726" s="58"/>
      <c r="I726" s="21"/>
      <c r="J726" s="22"/>
    </row>
    <row r="727" spans="1:10" ht="13.2" x14ac:dyDescent="0.25">
      <c r="A727" s="17"/>
      <c r="B727" s="17"/>
      <c r="D727" s="18"/>
      <c r="E727" s="18"/>
      <c r="F727" s="18"/>
      <c r="G727" s="18"/>
      <c r="H727" s="58"/>
      <c r="I727" s="21"/>
      <c r="J727" s="22"/>
    </row>
    <row r="728" spans="1:10" ht="13.2" x14ac:dyDescent="0.25">
      <c r="A728" s="17"/>
      <c r="B728" s="17"/>
      <c r="D728" s="18"/>
      <c r="E728" s="18"/>
      <c r="F728" s="18"/>
      <c r="G728" s="18"/>
      <c r="H728" s="58"/>
      <c r="I728" s="21"/>
      <c r="J728" s="22"/>
    </row>
    <row r="729" spans="1:10" ht="13.2" x14ac:dyDescent="0.25">
      <c r="A729" s="17"/>
      <c r="B729" s="17"/>
      <c r="D729" s="18"/>
      <c r="E729" s="18"/>
      <c r="F729" s="18"/>
      <c r="G729" s="18"/>
      <c r="H729" s="58"/>
      <c r="I729" s="21"/>
      <c r="J729" s="22"/>
    </row>
    <row r="730" spans="1:10" ht="13.2" x14ac:dyDescent="0.25">
      <c r="A730" s="17"/>
      <c r="B730" s="17"/>
      <c r="D730" s="18"/>
      <c r="E730" s="18"/>
      <c r="F730" s="18"/>
      <c r="G730" s="18"/>
      <c r="H730" s="58"/>
      <c r="I730" s="21"/>
      <c r="J730" s="22"/>
    </row>
    <row r="731" spans="1:10" ht="13.2" x14ac:dyDescent="0.25">
      <c r="A731" s="17"/>
      <c r="B731" s="17"/>
      <c r="D731" s="18"/>
      <c r="E731" s="18"/>
      <c r="F731" s="18"/>
      <c r="G731" s="18"/>
      <c r="H731" s="58"/>
      <c r="I731" s="21"/>
      <c r="J731" s="22"/>
    </row>
    <row r="732" spans="1:10" ht="13.2" x14ac:dyDescent="0.25">
      <c r="A732" s="17"/>
      <c r="B732" s="17"/>
      <c r="D732" s="18"/>
      <c r="E732" s="18"/>
      <c r="F732" s="18"/>
      <c r="G732" s="18"/>
      <c r="H732" s="58"/>
      <c r="I732" s="21"/>
      <c r="J732" s="22"/>
    </row>
    <row r="733" spans="1:10" ht="13.2" x14ac:dyDescent="0.25">
      <c r="A733" s="17"/>
      <c r="B733" s="17"/>
      <c r="D733" s="18"/>
      <c r="E733" s="18"/>
      <c r="F733" s="18"/>
      <c r="G733" s="18"/>
      <c r="H733" s="58"/>
      <c r="I733" s="21"/>
      <c r="J733" s="22"/>
    </row>
    <row r="734" spans="1:10" ht="13.2" x14ac:dyDescent="0.25">
      <c r="A734" s="17"/>
      <c r="B734" s="17"/>
      <c r="D734" s="18"/>
      <c r="E734" s="18"/>
      <c r="F734" s="18"/>
      <c r="G734" s="18"/>
      <c r="H734" s="58"/>
      <c r="I734" s="21"/>
      <c r="J734" s="22"/>
    </row>
    <row r="735" spans="1:10" ht="13.2" x14ac:dyDescent="0.25">
      <c r="A735" s="17"/>
      <c r="B735" s="17"/>
      <c r="D735" s="18"/>
      <c r="E735" s="18"/>
      <c r="F735" s="18"/>
      <c r="G735" s="18"/>
      <c r="H735" s="58"/>
      <c r="I735" s="21"/>
      <c r="J735" s="22"/>
    </row>
    <row r="736" spans="1:10" ht="13.2" x14ac:dyDescent="0.25">
      <c r="A736" s="17"/>
      <c r="B736" s="17"/>
      <c r="D736" s="18"/>
      <c r="E736" s="18"/>
      <c r="F736" s="18"/>
      <c r="G736" s="18"/>
      <c r="H736" s="58"/>
      <c r="I736" s="21"/>
      <c r="J736" s="22"/>
    </row>
    <row r="737" spans="1:10" ht="13.2" x14ac:dyDescent="0.25">
      <c r="A737" s="17"/>
      <c r="B737" s="17"/>
      <c r="D737" s="18"/>
      <c r="E737" s="18"/>
      <c r="F737" s="18"/>
      <c r="G737" s="18"/>
      <c r="H737" s="58"/>
      <c r="I737" s="21"/>
      <c r="J737" s="22"/>
    </row>
    <row r="738" spans="1:10" ht="13.2" x14ac:dyDescent="0.25">
      <c r="A738" s="17"/>
      <c r="B738" s="17"/>
      <c r="D738" s="18"/>
      <c r="E738" s="18"/>
      <c r="F738" s="18"/>
      <c r="G738" s="18"/>
      <c r="H738" s="58"/>
      <c r="I738" s="21"/>
      <c r="J738" s="22"/>
    </row>
    <row r="739" spans="1:10" ht="13.2" x14ac:dyDescent="0.25">
      <c r="A739" s="17"/>
      <c r="B739" s="17"/>
      <c r="D739" s="18"/>
      <c r="E739" s="18"/>
      <c r="F739" s="18"/>
      <c r="G739" s="18"/>
      <c r="H739" s="58"/>
      <c r="I739" s="21"/>
      <c r="J739" s="22"/>
    </row>
    <row r="740" spans="1:10" ht="13.2" x14ac:dyDescent="0.25">
      <c r="A740" s="17"/>
      <c r="B740" s="17"/>
      <c r="D740" s="18"/>
      <c r="E740" s="18"/>
      <c r="F740" s="18"/>
      <c r="G740" s="18"/>
      <c r="H740" s="58"/>
      <c r="I740" s="21"/>
      <c r="J740" s="22"/>
    </row>
    <row r="741" spans="1:10" ht="13.2" x14ac:dyDescent="0.25">
      <c r="A741" s="17"/>
      <c r="B741" s="17"/>
      <c r="D741" s="18"/>
      <c r="E741" s="18"/>
      <c r="F741" s="18"/>
      <c r="G741" s="18"/>
      <c r="H741" s="58"/>
      <c r="I741" s="21"/>
      <c r="J741" s="22"/>
    </row>
    <row r="742" spans="1:10" ht="13.2" x14ac:dyDescent="0.25">
      <c r="A742" s="17"/>
      <c r="B742" s="17"/>
      <c r="D742" s="18"/>
      <c r="E742" s="18"/>
      <c r="F742" s="18"/>
      <c r="G742" s="18"/>
      <c r="H742" s="58"/>
      <c r="I742" s="21"/>
      <c r="J742" s="22"/>
    </row>
    <row r="743" spans="1:10" ht="13.2" x14ac:dyDescent="0.25">
      <c r="A743" s="17"/>
      <c r="B743" s="17"/>
      <c r="D743" s="18"/>
      <c r="E743" s="18"/>
      <c r="F743" s="18"/>
      <c r="G743" s="18"/>
      <c r="H743" s="58"/>
      <c r="I743" s="21"/>
      <c r="J743" s="22"/>
    </row>
    <row r="744" spans="1:10" ht="13.2" x14ac:dyDescent="0.25">
      <c r="A744" s="17"/>
      <c r="B744" s="17"/>
      <c r="D744" s="18"/>
      <c r="E744" s="18"/>
      <c r="F744" s="18"/>
      <c r="G744" s="18"/>
      <c r="H744" s="58"/>
      <c r="I744" s="21"/>
      <c r="J744" s="22"/>
    </row>
    <row r="745" spans="1:10" ht="13.2" x14ac:dyDescent="0.25">
      <c r="A745" s="17"/>
      <c r="B745" s="17"/>
      <c r="D745" s="18"/>
      <c r="E745" s="18"/>
      <c r="F745" s="18"/>
      <c r="G745" s="18"/>
      <c r="H745" s="58"/>
      <c r="I745" s="21"/>
      <c r="J745" s="22"/>
    </row>
    <row r="746" spans="1:10" ht="13.2" x14ac:dyDescent="0.25">
      <c r="A746" s="17"/>
      <c r="B746" s="17"/>
      <c r="D746" s="18"/>
      <c r="E746" s="18"/>
      <c r="F746" s="18"/>
      <c r="G746" s="18"/>
      <c r="H746" s="58"/>
      <c r="I746" s="21"/>
      <c r="J746" s="22"/>
    </row>
    <row r="747" spans="1:10" ht="13.2" x14ac:dyDescent="0.25">
      <c r="A747" s="17"/>
      <c r="B747" s="17"/>
      <c r="D747" s="18"/>
      <c r="E747" s="18"/>
      <c r="F747" s="18"/>
      <c r="G747" s="18"/>
      <c r="H747" s="58"/>
      <c r="I747" s="21"/>
      <c r="J747" s="22"/>
    </row>
    <row r="748" spans="1:10" ht="13.2" x14ac:dyDescent="0.25">
      <c r="A748" s="17"/>
      <c r="B748" s="17"/>
      <c r="D748" s="18"/>
      <c r="E748" s="18"/>
      <c r="F748" s="18"/>
      <c r="G748" s="18"/>
      <c r="H748" s="58"/>
      <c r="I748" s="21"/>
      <c r="J748" s="22"/>
    </row>
    <row r="749" spans="1:10" ht="13.2" x14ac:dyDescent="0.25">
      <c r="A749" s="17"/>
      <c r="B749" s="17"/>
      <c r="D749" s="18"/>
      <c r="E749" s="18"/>
      <c r="F749" s="18"/>
      <c r="G749" s="18"/>
      <c r="H749" s="58"/>
      <c r="I749" s="21"/>
      <c r="J749" s="22"/>
    </row>
    <row r="750" spans="1:10" ht="13.2" x14ac:dyDescent="0.25">
      <c r="A750" s="17"/>
      <c r="B750" s="17"/>
      <c r="D750" s="18"/>
      <c r="E750" s="18"/>
      <c r="F750" s="18"/>
      <c r="G750" s="18"/>
      <c r="H750" s="58"/>
      <c r="I750" s="21"/>
      <c r="J750" s="22"/>
    </row>
    <row r="751" spans="1:10" ht="13.2" x14ac:dyDescent="0.25">
      <c r="A751" s="17"/>
      <c r="B751" s="17"/>
      <c r="D751" s="18"/>
      <c r="E751" s="18"/>
      <c r="F751" s="18"/>
      <c r="G751" s="18"/>
      <c r="H751" s="58"/>
      <c r="I751" s="21"/>
      <c r="J751" s="22"/>
    </row>
    <row r="752" spans="1:10" ht="13.2" x14ac:dyDescent="0.25">
      <c r="A752" s="17"/>
      <c r="B752" s="17"/>
      <c r="D752" s="18"/>
      <c r="E752" s="18"/>
      <c r="F752" s="18"/>
      <c r="G752" s="18"/>
      <c r="H752" s="58"/>
      <c r="I752" s="21"/>
      <c r="J752" s="22"/>
    </row>
    <row r="753" spans="1:10" ht="13.2" x14ac:dyDescent="0.25">
      <c r="A753" s="17"/>
      <c r="B753" s="17"/>
      <c r="D753" s="18"/>
      <c r="E753" s="18"/>
      <c r="F753" s="18"/>
      <c r="G753" s="18"/>
      <c r="H753" s="58"/>
      <c r="I753" s="21"/>
      <c r="J753" s="22"/>
    </row>
    <row r="754" spans="1:10" ht="13.2" x14ac:dyDescent="0.25">
      <c r="A754" s="17"/>
      <c r="B754" s="17"/>
      <c r="D754" s="18"/>
      <c r="E754" s="18"/>
      <c r="F754" s="18"/>
      <c r="G754" s="18"/>
      <c r="H754" s="58"/>
      <c r="I754" s="21"/>
      <c r="J754" s="22"/>
    </row>
    <row r="755" spans="1:10" ht="13.2" x14ac:dyDescent="0.25">
      <c r="A755" s="17"/>
      <c r="B755" s="17"/>
      <c r="D755" s="18"/>
      <c r="E755" s="18"/>
      <c r="F755" s="18"/>
      <c r="G755" s="18"/>
      <c r="H755" s="58"/>
      <c r="I755" s="21"/>
      <c r="J755" s="22"/>
    </row>
    <row r="756" spans="1:10" ht="13.2" x14ac:dyDescent="0.25">
      <c r="A756" s="17"/>
      <c r="B756" s="17"/>
      <c r="D756" s="18"/>
      <c r="E756" s="18"/>
      <c r="F756" s="18"/>
      <c r="G756" s="18"/>
      <c r="H756" s="58"/>
      <c r="I756" s="21"/>
      <c r="J756" s="22"/>
    </row>
    <row r="757" spans="1:10" ht="13.2" x14ac:dyDescent="0.25">
      <c r="A757" s="17"/>
      <c r="B757" s="17"/>
      <c r="D757" s="18"/>
      <c r="E757" s="18"/>
      <c r="F757" s="18"/>
      <c r="G757" s="18"/>
      <c r="H757" s="58"/>
      <c r="I757" s="21"/>
      <c r="J757" s="22"/>
    </row>
    <row r="758" spans="1:10" ht="13.2" x14ac:dyDescent="0.25">
      <c r="A758" s="17"/>
      <c r="B758" s="17"/>
      <c r="D758" s="18"/>
      <c r="E758" s="18"/>
      <c r="F758" s="18"/>
      <c r="G758" s="18"/>
      <c r="H758" s="58"/>
      <c r="I758" s="21"/>
      <c r="J758" s="22"/>
    </row>
    <row r="759" spans="1:10" ht="13.2" x14ac:dyDescent="0.25">
      <c r="A759" s="17"/>
      <c r="B759" s="17"/>
      <c r="D759" s="18"/>
      <c r="E759" s="18"/>
      <c r="F759" s="18"/>
      <c r="G759" s="18"/>
      <c r="H759" s="58"/>
      <c r="I759" s="21"/>
      <c r="J759" s="22"/>
    </row>
    <row r="760" spans="1:10" ht="13.2" x14ac:dyDescent="0.25">
      <c r="A760" s="17"/>
      <c r="B760" s="17"/>
      <c r="D760" s="18"/>
      <c r="E760" s="18"/>
      <c r="F760" s="18"/>
      <c r="G760" s="18"/>
      <c r="H760" s="58"/>
      <c r="I760" s="21"/>
      <c r="J760" s="22"/>
    </row>
    <row r="761" spans="1:10" ht="13.2" x14ac:dyDescent="0.25">
      <c r="A761" s="17"/>
      <c r="B761" s="17"/>
      <c r="D761" s="18"/>
      <c r="E761" s="18"/>
      <c r="F761" s="18"/>
      <c r="G761" s="18"/>
      <c r="H761" s="58"/>
      <c r="I761" s="21"/>
      <c r="J761" s="22"/>
    </row>
    <row r="762" spans="1:10" ht="13.2" x14ac:dyDescent="0.25">
      <c r="A762" s="17"/>
      <c r="B762" s="17"/>
      <c r="D762" s="18"/>
      <c r="E762" s="18"/>
      <c r="F762" s="18"/>
      <c r="G762" s="18"/>
      <c r="H762" s="58"/>
      <c r="I762" s="21"/>
      <c r="J762" s="22"/>
    </row>
    <row r="763" spans="1:10" ht="13.2" x14ac:dyDescent="0.25">
      <c r="A763" s="17"/>
      <c r="B763" s="17"/>
      <c r="D763" s="18"/>
      <c r="E763" s="18"/>
      <c r="F763" s="18"/>
      <c r="G763" s="18"/>
      <c r="H763" s="58"/>
      <c r="I763" s="21"/>
      <c r="J763" s="22"/>
    </row>
    <row r="764" spans="1:10" ht="13.2" x14ac:dyDescent="0.25">
      <c r="A764" s="17"/>
      <c r="B764" s="17"/>
      <c r="D764" s="18"/>
      <c r="E764" s="18"/>
      <c r="F764" s="18"/>
      <c r="G764" s="18"/>
      <c r="H764" s="58"/>
      <c r="I764" s="21"/>
      <c r="J764" s="22"/>
    </row>
    <row r="765" spans="1:10" ht="13.2" x14ac:dyDescent="0.25">
      <c r="A765" s="17"/>
      <c r="B765" s="17"/>
      <c r="D765" s="18"/>
      <c r="E765" s="18"/>
      <c r="F765" s="18"/>
      <c r="G765" s="18"/>
      <c r="H765" s="58"/>
      <c r="I765" s="21"/>
      <c r="J765" s="22"/>
    </row>
    <row r="766" spans="1:10" ht="13.2" x14ac:dyDescent="0.25">
      <c r="A766" s="17"/>
      <c r="B766" s="17"/>
      <c r="D766" s="18"/>
      <c r="E766" s="18"/>
      <c r="F766" s="18"/>
      <c r="G766" s="18"/>
      <c r="H766" s="58"/>
      <c r="I766" s="21"/>
      <c r="J766" s="22"/>
    </row>
    <row r="767" spans="1:10" ht="13.2" x14ac:dyDescent="0.25">
      <c r="A767" s="17"/>
      <c r="B767" s="17"/>
      <c r="D767" s="18"/>
      <c r="E767" s="18"/>
      <c r="F767" s="18"/>
      <c r="G767" s="18"/>
      <c r="H767" s="58"/>
      <c r="I767" s="21"/>
      <c r="J767" s="22"/>
    </row>
    <row r="768" spans="1:10" ht="13.2" x14ac:dyDescent="0.25">
      <c r="A768" s="17"/>
      <c r="B768" s="17"/>
      <c r="D768" s="18"/>
      <c r="E768" s="18"/>
      <c r="F768" s="18"/>
      <c r="G768" s="18"/>
      <c r="H768" s="58"/>
      <c r="I768" s="21"/>
      <c r="J768" s="22"/>
    </row>
    <row r="769" spans="1:10" ht="13.2" x14ac:dyDescent="0.25">
      <c r="A769" s="17"/>
      <c r="B769" s="17"/>
      <c r="D769" s="18"/>
      <c r="E769" s="18"/>
      <c r="F769" s="18"/>
      <c r="G769" s="18"/>
      <c r="H769" s="58"/>
      <c r="I769" s="21"/>
      <c r="J769" s="22"/>
    </row>
    <row r="770" spans="1:10" ht="13.2" x14ac:dyDescent="0.25">
      <c r="A770" s="17"/>
      <c r="B770" s="17"/>
      <c r="D770" s="18"/>
      <c r="E770" s="18"/>
      <c r="F770" s="18"/>
      <c r="G770" s="18"/>
      <c r="H770" s="58"/>
      <c r="I770" s="21"/>
      <c r="J770" s="22"/>
    </row>
    <row r="771" spans="1:10" ht="13.2" x14ac:dyDescent="0.25">
      <c r="A771" s="17"/>
      <c r="B771" s="17"/>
      <c r="D771" s="18"/>
      <c r="E771" s="18"/>
      <c r="F771" s="18"/>
      <c r="G771" s="18"/>
      <c r="H771" s="58"/>
      <c r="I771" s="21"/>
      <c r="J771" s="22"/>
    </row>
    <row r="772" spans="1:10" ht="13.2" x14ac:dyDescent="0.25">
      <c r="A772" s="17"/>
      <c r="B772" s="17"/>
      <c r="D772" s="18"/>
      <c r="E772" s="18"/>
      <c r="F772" s="18"/>
      <c r="G772" s="18"/>
      <c r="H772" s="58"/>
      <c r="I772" s="21"/>
      <c r="J772" s="22"/>
    </row>
    <row r="773" spans="1:10" ht="13.2" x14ac:dyDescent="0.25">
      <c r="A773" s="17"/>
      <c r="B773" s="17"/>
      <c r="D773" s="18"/>
      <c r="E773" s="18"/>
      <c r="F773" s="18"/>
      <c r="G773" s="18"/>
      <c r="H773" s="58"/>
      <c r="I773" s="21"/>
      <c r="J773" s="22"/>
    </row>
    <row r="774" spans="1:10" ht="13.2" x14ac:dyDescent="0.25">
      <c r="A774" s="17"/>
      <c r="B774" s="17"/>
      <c r="D774" s="18"/>
      <c r="E774" s="18"/>
      <c r="F774" s="18"/>
      <c r="G774" s="18"/>
      <c r="H774" s="58"/>
      <c r="I774" s="21"/>
      <c r="J774" s="22"/>
    </row>
    <row r="775" spans="1:10" ht="13.2" x14ac:dyDescent="0.25">
      <c r="A775" s="17"/>
      <c r="B775" s="17"/>
      <c r="D775" s="18"/>
      <c r="E775" s="18"/>
      <c r="F775" s="18"/>
      <c r="G775" s="18"/>
      <c r="H775" s="58"/>
      <c r="I775" s="21"/>
      <c r="J775" s="22"/>
    </row>
    <row r="776" spans="1:10" ht="13.2" x14ac:dyDescent="0.25">
      <c r="A776" s="17"/>
      <c r="B776" s="17"/>
      <c r="D776" s="18"/>
      <c r="E776" s="18"/>
      <c r="F776" s="18"/>
      <c r="G776" s="18"/>
      <c r="H776" s="58"/>
      <c r="I776" s="21"/>
      <c r="J776" s="22"/>
    </row>
    <row r="777" spans="1:10" ht="13.2" x14ac:dyDescent="0.25">
      <c r="A777" s="17"/>
      <c r="B777" s="17"/>
      <c r="D777" s="18"/>
      <c r="E777" s="18"/>
      <c r="F777" s="18"/>
      <c r="G777" s="18"/>
      <c r="H777" s="58"/>
      <c r="I777" s="21"/>
      <c r="J777" s="22"/>
    </row>
    <row r="778" spans="1:10" ht="13.2" x14ac:dyDescent="0.25">
      <c r="A778" s="17"/>
      <c r="B778" s="17"/>
      <c r="D778" s="18"/>
      <c r="E778" s="18"/>
      <c r="F778" s="18"/>
      <c r="G778" s="18"/>
      <c r="H778" s="58"/>
      <c r="I778" s="21"/>
      <c r="J778" s="22"/>
    </row>
    <row r="779" spans="1:10" ht="13.2" x14ac:dyDescent="0.25">
      <c r="A779" s="17"/>
      <c r="B779" s="17"/>
      <c r="D779" s="18"/>
      <c r="E779" s="18"/>
      <c r="F779" s="18"/>
      <c r="G779" s="18"/>
      <c r="H779" s="58"/>
      <c r="I779" s="21"/>
      <c r="J779" s="22"/>
    </row>
    <row r="780" spans="1:10" ht="13.2" x14ac:dyDescent="0.25">
      <c r="A780" s="17"/>
      <c r="B780" s="17"/>
      <c r="D780" s="18"/>
      <c r="E780" s="18"/>
      <c r="F780" s="18"/>
      <c r="G780" s="18"/>
      <c r="H780" s="58"/>
      <c r="I780" s="21"/>
      <c r="J780" s="22"/>
    </row>
    <row r="781" spans="1:10" ht="13.2" x14ac:dyDescent="0.25">
      <c r="A781" s="17"/>
      <c r="B781" s="17"/>
      <c r="D781" s="18"/>
      <c r="E781" s="18"/>
      <c r="F781" s="18"/>
      <c r="G781" s="18"/>
      <c r="H781" s="58"/>
      <c r="I781" s="21"/>
      <c r="J781" s="22"/>
    </row>
    <row r="782" spans="1:10" ht="13.2" x14ac:dyDescent="0.25">
      <c r="A782" s="17"/>
      <c r="B782" s="17"/>
      <c r="D782" s="18"/>
      <c r="E782" s="18"/>
      <c r="F782" s="18"/>
      <c r="G782" s="18"/>
      <c r="H782" s="58"/>
      <c r="I782" s="21"/>
      <c r="J782" s="22"/>
    </row>
    <row r="783" spans="1:10" ht="13.2" x14ac:dyDescent="0.25">
      <c r="A783" s="17"/>
      <c r="B783" s="17"/>
      <c r="D783" s="18"/>
      <c r="E783" s="18"/>
      <c r="F783" s="18"/>
      <c r="G783" s="18"/>
      <c r="H783" s="58"/>
      <c r="I783" s="21"/>
      <c r="J783" s="22"/>
    </row>
    <row r="784" spans="1:10" ht="13.2" x14ac:dyDescent="0.25">
      <c r="A784" s="17"/>
      <c r="B784" s="17"/>
      <c r="D784" s="18"/>
      <c r="E784" s="18"/>
      <c r="F784" s="18"/>
      <c r="G784" s="18"/>
      <c r="H784" s="58"/>
      <c r="I784" s="21"/>
      <c r="J784" s="22"/>
    </row>
    <row r="785" spans="1:10" ht="13.2" x14ac:dyDescent="0.25">
      <c r="A785" s="17"/>
      <c r="B785" s="17"/>
      <c r="D785" s="18"/>
      <c r="E785" s="18"/>
      <c r="F785" s="18"/>
      <c r="G785" s="18"/>
      <c r="H785" s="58"/>
      <c r="I785" s="21"/>
      <c r="J785" s="22"/>
    </row>
    <row r="786" spans="1:10" ht="13.2" x14ac:dyDescent="0.25">
      <c r="A786" s="17"/>
      <c r="B786" s="17"/>
      <c r="D786" s="18"/>
      <c r="E786" s="18"/>
      <c r="F786" s="18"/>
      <c r="G786" s="18"/>
      <c r="H786" s="58"/>
      <c r="I786" s="21"/>
      <c r="J786" s="22"/>
    </row>
    <row r="787" spans="1:10" ht="13.2" x14ac:dyDescent="0.25">
      <c r="A787" s="17"/>
      <c r="B787" s="17"/>
      <c r="D787" s="18"/>
      <c r="E787" s="18"/>
      <c r="F787" s="18"/>
      <c r="G787" s="18"/>
      <c r="H787" s="58"/>
      <c r="I787" s="21"/>
      <c r="J787" s="22"/>
    </row>
    <row r="788" spans="1:10" ht="13.2" x14ac:dyDescent="0.25">
      <c r="A788" s="17"/>
      <c r="B788" s="17"/>
      <c r="D788" s="18"/>
      <c r="E788" s="18"/>
      <c r="F788" s="18"/>
      <c r="G788" s="18"/>
      <c r="H788" s="58"/>
      <c r="I788" s="21"/>
      <c r="J788" s="22"/>
    </row>
    <row r="789" spans="1:10" ht="13.2" x14ac:dyDescent="0.25">
      <c r="A789" s="17"/>
      <c r="B789" s="17"/>
      <c r="D789" s="18"/>
      <c r="E789" s="18"/>
      <c r="F789" s="18"/>
      <c r="G789" s="18"/>
      <c r="H789" s="58"/>
      <c r="I789" s="21"/>
      <c r="J789" s="22"/>
    </row>
    <row r="790" spans="1:10" ht="13.2" x14ac:dyDescent="0.25">
      <c r="A790" s="17"/>
      <c r="B790" s="17"/>
      <c r="D790" s="18"/>
      <c r="E790" s="18"/>
      <c r="F790" s="18"/>
      <c r="G790" s="18"/>
      <c r="H790" s="58"/>
      <c r="I790" s="21"/>
      <c r="J790" s="22"/>
    </row>
    <row r="791" spans="1:10" ht="13.2" x14ac:dyDescent="0.25">
      <c r="A791" s="17"/>
      <c r="B791" s="17"/>
      <c r="D791" s="18"/>
      <c r="E791" s="18"/>
      <c r="F791" s="18"/>
      <c r="G791" s="18"/>
      <c r="H791" s="58"/>
      <c r="I791" s="21"/>
      <c r="J791" s="22"/>
    </row>
    <row r="792" spans="1:10" ht="13.2" x14ac:dyDescent="0.25">
      <c r="A792" s="17"/>
      <c r="B792" s="17"/>
      <c r="D792" s="18"/>
      <c r="E792" s="18"/>
      <c r="F792" s="18"/>
      <c r="G792" s="18"/>
      <c r="H792" s="58"/>
      <c r="I792" s="21"/>
      <c r="J792" s="22"/>
    </row>
    <row r="793" spans="1:10" ht="13.2" x14ac:dyDescent="0.25">
      <c r="A793" s="17"/>
      <c r="B793" s="17"/>
      <c r="D793" s="18"/>
      <c r="E793" s="18"/>
      <c r="F793" s="18"/>
      <c r="G793" s="18"/>
      <c r="H793" s="58"/>
      <c r="I793" s="21"/>
      <c r="J793" s="22"/>
    </row>
    <row r="794" spans="1:10" ht="13.2" x14ac:dyDescent="0.25">
      <c r="A794" s="17"/>
      <c r="B794" s="17"/>
      <c r="D794" s="18"/>
      <c r="E794" s="18"/>
      <c r="F794" s="18"/>
      <c r="G794" s="18"/>
      <c r="H794" s="58"/>
      <c r="I794" s="21"/>
      <c r="J794" s="22"/>
    </row>
    <row r="795" spans="1:10" ht="13.2" x14ac:dyDescent="0.25">
      <c r="A795" s="17"/>
      <c r="B795" s="17"/>
      <c r="D795" s="18"/>
      <c r="E795" s="18"/>
      <c r="F795" s="18"/>
      <c r="G795" s="18"/>
      <c r="H795" s="58"/>
      <c r="I795" s="21"/>
      <c r="J795" s="22"/>
    </row>
    <row r="796" spans="1:10" ht="13.2" x14ac:dyDescent="0.25">
      <c r="A796" s="17"/>
      <c r="B796" s="17"/>
      <c r="D796" s="18"/>
      <c r="E796" s="18"/>
      <c r="F796" s="18"/>
      <c r="G796" s="18"/>
      <c r="H796" s="58"/>
      <c r="I796" s="21"/>
      <c r="J796" s="22"/>
    </row>
    <row r="797" spans="1:10" ht="13.2" x14ac:dyDescent="0.25">
      <c r="A797" s="17"/>
      <c r="B797" s="17"/>
      <c r="D797" s="18"/>
      <c r="E797" s="18"/>
      <c r="F797" s="18"/>
      <c r="G797" s="18"/>
      <c r="H797" s="58"/>
      <c r="I797" s="21"/>
      <c r="J797" s="22"/>
    </row>
    <row r="798" spans="1:10" ht="13.2" x14ac:dyDescent="0.25">
      <c r="A798" s="17"/>
      <c r="B798" s="17"/>
      <c r="D798" s="18"/>
      <c r="E798" s="18"/>
      <c r="F798" s="18"/>
      <c r="G798" s="18"/>
      <c r="H798" s="58"/>
      <c r="I798" s="21"/>
      <c r="J798" s="22"/>
    </row>
    <row r="799" spans="1:10" ht="13.2" x14ac:dyDescent="0.25">
      <c r="A799" s="17"/>
      <c r="B799" s="17"/>
      <c r="D799" s="18"/>
      <c r="E799" s="18"/>
      <c r="F799" s="18"/>
      <c r="G799" s="18"/>
      <c r="H799" s="58"/>
      <c r="I799" s="21"/>
      <c r="J799" s="22"/>
    </row>
    <row r="800" spans="1:10" ht="13.2" x14ac:dyDescent="0.25">
      <c r="A800" s="17"/>
      <c r="B800" s="17"/>
      <c r="D800" s="18"/>
      <c r="E800" s="18"/>
      <c r="F800" s="18"/>
      <c r="G800" s="18"/>
      <c r="H800" s="58"/>
      <c r="I800" s="21"/>
      <c r="J800" s="22"/>
    </row>
    <row r="801" spans="1:10" ht="13.2" x14ac:dyDescent="0.25">
      <c r="A801" s="17"/>
      <c r="B801" s="17"/>
      <c r="D801" s="18"/>
      <c r="E801" s="18"/>
      <c r="F801" s="18"/>
      <c r="G801" s="18"/>
      <c r="H801" s="58"/>
      <c r="I801" s="21"/>
      <c r="J801" s="22"/>
    </row>
    <row r="802" spans="1:10" ht="13.2" x14ac:dyDescent="0.25">
      <c r="A802" s="17"/>
      <c r="B802" s="17"/>
      <c r="D802" s="18"/>
      <c r="E802" s="18"/>
      <c r="F802" s="18"/>
      <c r="G802" s="18"/>
      <c r="H802" s="58"/>
      <c r="I802" s="21"/>
      <c r="J802" s="22"/>
    </row>
    <row r="803" spans="1:10" ht="13.2" x14ac:dyDescent="0.25">
      <c r="A803" s="17"/>
      <c r="B803" s="17"/>
      <c r="D803" s="18"/>
      <c r="E803" s="18"/>
      <c r="F803" s="18"/>
      <c r="G803" s="18"/>
      <c r="H803" s="58"/>
      <c r="I803" s="21"/>
      <c r="J803" s="22"/>
    </row>
    <row r="804" spans="1:10" ht="13.2" x14ac:dyDescent="0.25">
      <c r="A804" s="17"/>
      <c r="B804" s="17"/>
      <c r="D804" s="18"/>
      <c r="E804" s="18"/>
      <c r="F804" s="18"/>
      <c r="G804" s="18"/>
      <c r="H804" s="58"/>
      <c r="I804" s="21"/>
      <c r="J804" s="22"/>
    </row>
    <row r="805" spans="1:10" ht="13.2" x14ac:dyDescent="0.25">
      <c r="A805" s="17"/>
      <c r="B805" s="17"/>
      <c r="D805" s="18"/>
      <c r="E805" s="18"/>
      <c r="F805" s="18"/>
      <c r="G805" s="18"/>
      <c r="H805" s="58"/>
      <c r="I805" s="21"/>
      <c r="J805" s="22"/>
    </row>
    <row r="806" spans="1:10" ht="13.2" x14ac:dyDescent="0.25">
      <c r="A806" s="17"/>
      <c r="B806" s="17"/>
      <c r="D806" s="18"/>
      <c r="E806" s="18"/>
      <c r="F806" s="18"/>
      <c r="G806" s="18"/>
      <c r="H806" s="58"/>
      <c r="I806" s="21"/>
      <c r="J806" s="22"/>
    </row>
    <row r="807" spans="1:10" ht="13.2" x14ac:dyDescent="0.25">
      <c r="A807" s="17"/>
      <c r="B807" s="17"/>
      <c r="D807" s="18"/>
      <c r="E807" s="18"/>
      <c r="F807" s="18"/>
      <c r="G807" s="18"/>
      <c r="H807" s="58"/>
      <c r="I807" s="21"/>
      <c r="J807" s="22"/>
    </row>
    <row r="808" spans="1:10" ht="13.2" x14ac:dyDescent="0.25">
      <c r="A808" s="17"/>
      <c r="B808" s="17"/>
      <c r="D808" s="18"/>
      <c r="E808" s="18"/>
      <c r="F808" s="18"/>
      <c r="G808" s="18"/>
      <c r="H808" s="58"/>
      <c r="I808" s="21"/>
      <c r="J808" s="22"/>
    </row>
    <row r="809" spans="1:10" ht="13.2" x14ac:dyDescent="0.25">
      <c r="A809" s="17"/>
      <c r="B809" s="17"/>
      <c r="D809" s="18"/>
      <c r="E809" s="18"/>
      <c r="F809" s="18"/>
      <c r="G809" s="18"/>
      <c r="H809" s="58"/>
      <c r="I809" s="21"/>
      <c r="J809" s="22"/>
    </row>
    <row r="810" spans="1:10" ht="13.2" x14ac:dyDescent="0.25">
      <c r="A810" s="17"/>
      <c r="B810" s="17"/>
      <c r="D810" s="18"/>
      <c r="E810" s="18"/>
      <c r="F810" s="18"/>
      <c r="G810" s="18"/>
      <c r="H810" s="58"/>
      <c r="I810" s="21"/>
      <c r="J810" s="22"/>
    </row>
    <row r="811" spans="1:10" ht="13.2" x14ac:dyDescent="0.25">
      <c r="A811" s="17"/>
      <c r="B811" s="17"/>
      <c r="D811" s="18"/>
      <c r="E811" s="18"/>
      <c r="F811" s="18"/>
      <c r="G811" s="18"/>
      <c r="H811" s="58"/>
      <c r="I811" s="21"/>
      <c r="J811" s="22"/>
    </row>
    <row r="812" spans="1:10" ht="13.2" x14ac:dyDescent="0.25">
      <c r="A812" s="17"/>
      <c r="B812" s="17"/>
      <c r="D812" s="18"/>
      <c r="E812" s="18"/>
      <c r="F812" s="18"/>
      <c r="G812" s="18"/>
      <c r="H812" s="58"/>
      <c r="I812" s="21"/>
      <c r="J812" s="22"/>
    </row>
    <row r="813" spans="1:10" ht="13.2" x14ac:dyDescent="0.25">
      <c r="A813" s="17"/>
      <c r="B813" s="17"/>
      <c r="D813" s="18"/>
      <c r="E813" s="18"/>
      <c r="F813" s="18"/>
      <c r="G813" s="18"/>
      <c r="H813" s="58"/>
      <c r="I813" s="21"/>
      <c r="J813" s="22"/>
    </row>
    <row r="814" spans="1:10" ht="13.2" x14ac:dyDescent="0.25">
      <c r="A814" s="17"/>
      <c r="B814" s="17"/>
      <c r="D814" s="18"/>
      <c r="E814" s="18"/>
      <c r="F814" s="18"/>
      <c r="G814" s="18"/>
      <c r="H814" s="58"/>
      <c r="I814" s="21"/>
      <c r="J814" s="22"/>
    </row>
    <row r="815" spans="1:10" ht="13.2" x14ac:dyDescent="0.25">
      <c r="A815" s="17"/>
      <c r="B815" s="17"/>
      <c r="D815" s="18"/>
      <c r="E815" s="18"/>
      <c r="F815" s="18"/>
      <c r="G815" s="18"/>
      <c r="H815" s="58"/>
      <c r="I815" s="21"/>
      <c r="J815" s="22"/>
    </row>
    <row r="816" spans="1:10" ht="13.2" x14ac:dyDescent="0.25">
      <c r="A816" s="17"/>
      <c r="B816" s="17"/>
      <c r="D816" s="18"/>
      <c r="E816" s="18"/>
      <c r="F816" s="18"/>
      <c r="G816" s="18"/>
      <c r="H816" s="58"/>
      <c r="I816" s="21"/>
      <c r="J816" s="22"/>
    </row>
    <row r="817" spans="1:10" ht="13.2" x14ac:dyDescent="0.25">
      <c r="A817" s="17"/>
      <c r="B817" s="17"/>
      <c r="D817" s="18"/>
      <c r="E817" s="18"/>
      <c r="F817" s="18"/>
      <c r="G817" s="18"/>
      <c r="H817" s="58"/>
      <c r="I817" s="21"/>
      <c r="J817" s="22"/>
    </row>
    <row r="818" spans="1:10" ht="13.2" x14ac:dyDescent="0.25">
      <c r="A818" s="17"/>
      <c r="B818" s="17"/>
      <c r="D818" s="18"/>
      <c r="E818" s="18"/>
      <c r="F818" s="18"/>
      <c r="G818" s="18"/>
      <c r="H818" s="58"/>
      <c r="I818" s="21"/>
      <c r="J818" s="22"/>
    </row>
    <row r="819" spans="1:10" ht="13.2" x14ac:dyDescent="0.25">
      <c r="A819" s="17"/>
      <c r="B819" s="17"/>
      <c r="D819" s="18"/>
      <c r="E819" s="18"/>
      <c r="F819" s="18"/>
      <c r="G819" s="18"/>
      <c r="H819" s="58"/>
      <c r="I819" s="21"/>
      <c r="J819" s="22"/>
    </row>
    <row r="820" spans="1:10" ht="13.2" x14ac:dyDescent="0.25">
      <c r="A820" s="17"/>
      <c r="B820" s="17"/>
      <c r="D820" s="18"/>
      <c r="E820" s="18"/>
      <c r="F820" s="18"/>
      <c r="G820" s="18"/>
      <c r="H820" s="58"/>
      <c r="I820" s="21"/>
      <c r="J820" s="22"/>
    </row>
    <row r="821" spans="1:10" ht="13.2" x14ac:dyDescent="0.25">
      <c r="A821" s="17"/>
      <c r="B821" s="17"/>
      <c r="D821" s="18"/>
      <c r="E821" s="18"/>
      <c r="F821" s="18"/>
      <c r="G821" s="18"/>
      <c r="H821" s="58"/>
      <c r="I821" s="21"/>
      <c r="J821" s="22"/>
    </row>
    <row r="822" spans="1:10" ht="13.2" x14ac:dyDescent="0.25">
      <c r="A822" s="17"/>
      <c r="B822" s="17"/>
      <c r="D822" s="18"/>
      <c r="E822" s="18"/>
      <c r="F822" s="18"/>
      <c r="G822" s="18"/>
      <c r="H822" s="58"/>
      <c r="I822" s="21"/>
      <c r="J822" s="22"/>
    </row>
    <row r="823" spans="1:10" ht="13.2" x14ac:dyDescent="0.25">
      <c r="A823" s="17"/>
      <c r="B823" s="17"/>
      <c r="D823" s="18"/>
      <c r="E823" s="18"/>
      <c r="F823" s="18"/>
      <c r="G823" s="18"/>
      <c r="H823" s="58"/>
      <c r="I823" s="21"/>
      <c r="J823" s="22"/>
    </row>
    <row r="824" spans="1:10" ht="13.2" x14ac:dyDescent="0.25">
      <c r="A824" s="17"/>
      <c r="B824" s="17"/>
      <c r="D824" s="18"/>
      <c r="E824" s="18"/>
      <c r="F824" s="18"/>
      <c r="G824" s="18"/>
      <c r="H824" s="58"/>
      <c r="I824" s="21"/>
      <c r="J824" s="22"/>
    </row>
    <row r="825" spans="1:10" ht="13.2" x14ac:dyDescent="0.25">
      <c r="A825" s="17"/>
      <c r="B825" s="17"/>
      <c r="D825" s="18"/>
      <c r="E825" s="18"/>
      <c r="F825" s="18"/>
      <c r="G825" s="18"/>
      <c r="H825" s="58"/>
      <c r="I825" s="21"/>
      <c r="J825" s="22"/>
    </row>
    <row r="826" spans="1:10" ht="13.2" x14ac:dyDescent="0.25">
      <c r="A826" s="17"/>
      <c r="B826" s="17"/>
      <c r="D826" s="18"/>
      <c r="E826" s="18"/>
      <c r="F826" s="18"/>
      <c r="G826" s="18"/>
      <c r="H826" s="58"/>
      <c r="I826" s="21"/>
      <c r="J826" s="22"/>
    </row>
    <row r="827" spans="1:10" ht="13.2" x14ac:dyDescent="0.25">
      <c r="A827" s="17"/>
      <c r="B827" s="17"/>
      <c r="D827" s="18"/>
      <c r="E827" s="18"/>
      <c r="F827" s="18"/>
      <c r="G827" s="18"/>
      <c r="H827" s="58"/>
      <c r="I827" s="21"/>
      <c r="J827" s="22"/>
    </row>
    <row r="828" spans="1:10" ht="13.2" x14ac:dyDescent="0.25">
      <c r="A828" s="17"/>
      <c r="B828" s="17"/>
      <c r="D828" s="18"/>
      <c r="E828" s="18"/>
      <c r="F828" s="18"/>
      <c r="G828" s="18"/>
      <c r="H828" s="58"/>
      <c r="I828" s="21"/>
      <c r="J828" s="22"/>
    </row>
    <row r="829" spans="1:10" ht="13.2" x14ac:dyDescent="0.25">
      <c r="A829" s="17"/>
      <c r="B829" s="17"/>
      <c r="D829" s="18"/>
      <c r="E829" s="18"/>
      <c r="F829" s="18"/>
      <c r="G829" s="18"/>
      <c r="H829" s="58"/>
      <c r="I829" s="21"/>
      <c r="J829" s="22"/>
    </row>
    <row r="830" spans="1:10" ht="13.2" x14ac:dyDescent="0.25">
      <c r="A830" s="17"/>
      <c r="B830" s="17"/>
      <c r="D830" s="18"/>
      <c r="E830" s="18"/>
      <c r="F830" s="18"/>
      <c r="G830" s="18"/>
      <c r="H830" s="58"/>
      <c r="I830" s="21"/>
      <c r="J830" s="22"/>
    </row>
    <row r="831" spans="1:10" ht="13.2" x14ac:dyDescent="0.25">
      <c r="A831" s="17"/>
      <c r="B831" s="17"/>
      <c r="D831" s="18"/>
      <c r="E831" s="18"/>
      <c r="F831" s="18"/>
      <c r="G831" s="18"/>
      <c r="H831" s="58"/>
      <c r="I831" s="21"/>
      <c r="J831" s="22"/>
    </row>
    <row r="832" spans="1:10" ht="13.2" x14ac:dyDescent="0.25">
      <c r="A832" s="17"/>
      <c r="B832" s="17"/>
      <c r="D832" s="18"/>
      <c r="E832" s="18"/>
      <c r="F832" s="18"/>
      <c r="G832" s="18"/>
      <c r="H832" s="58"/>
      <c r="I832" s="21"/>
      <c r="J832" s="22"/>
    </row>
    <row r="833" spans="1:10" ht="13.2" x14ac:dyDescent="0.25">
      <c r="A833" s="17"/>
      <c r="B833" s="17"/>
      <c r="D833" s="18"/>
      <c r="E833" s="18"/>
      <c r="F833" s="18"/>
      <c r="G833" s="18"/>
      <c r="H833" s="58"/>
      <c r="I833" s="21"/>
      <c r="J833" s="22"/>
    </row>
    <row r="834" spans="1:10" ht="13.2" x14ac:dyDescent="0.25">
      <c r="A834" s="17"/>
      <c r="B834" s="17"/>
      <c r="D834" s="18"/>
      <c r="E834" s="18"/>
      <c r="F834" s="18"/>
      <c r="G834" s="18"/>
      <c r="H834" s="58"/>
      <c r="I834" s="21"/>
      <c r="J834" s="22"/>
    </row>
    <row r="835" spans="1:10" ht="13.2" x14ac:dyDescent="0.25">
      <c r="A835" s="17"/>
      <c r="B835" s="17"/>
      <c r="D835" s="18"/>
      <c r="E835" s="18"/>
      <c r="F835" s="18"/>
      <c r="G835" s="18"/>
      <c r="H835" s="58"/>
      <c r="I835" s="21"/>
      <c r="J835" s="22"/>
    </row>
    <row r="836" spans="1:10" ht="13.2" x14ac:dyDescent="0.25">
      <c r="A836" s="17"/>
      <c r="B836" s="17"/>
      <c r="D836" s="18"/>
      <c r="E836" s="18"/>
      <c r="F836" s="18"/>
      <c r="G836" s="18"/>
      <c r="H836" s="58"/>
      <c r="I836" s="21"/>
      <c r="J836" s="22"/>
    </row>
    <row r="837" spans="1:10" ht="13.2" x14ac:dyDescent="0.25">
      <c r="A837" s="17"/>
      <c r="B837" s="17"/>
      <c r="D837" s="18"/>
      <c r="E837" s="18"/>
      <c r="F837" s="18"/>
      <c r="G837" s="18"/>
      <c r="H837" s="58"/>
      <c r="I837" s="21"/>
      <c r="J837" s="22"/>
    </row>
    <row r="838" spans="1:10" ht="13.2" x14ac:dyDescent="0.25">
      <c r="A838" s="17"/>
      <c r="B838" s="17"/>
      <c r="D838" s="18"/>
      <c r="E838" s="18"/>
      <c r="F838" s="18"/>
      <c r="G838" s="18"/>
      <c r="H838" s="58"/>
      <c r="I838" s="21"/>
      <c r="J838" s="22"/>
    </row>
    <row r="839" spans="1:10" ht="13.2" x14ac:dyDescent="0.25">
      <c r="A839" s="17"/>
      <c r="B839" s="17"/>
      <c r="D839" s="18"/>
      <c r="E839" s="18"/>
      <c r="F839" s="18"/>
      <c r="G839" s="18"/>
      <c r="H839" s="58"/>
      <c r="I839" s="21"/>
      <c r="J839" s="22"/>
    </row>
    <row r="840" spans="1:10" ht="13.2" x14ac:dyDescent="0.25">
      <c r="A840" s="17"/>
      <c r="B840" s="17"/>
      <c r="D840" s="18"/>
      <c r="E840" s="18"/>
      <c r="F840" s="18"/>
      <c r="G840" s="18"/>
      <c r="H840" s="58"/>
      <c r="I840" s="21"/>
      <c r="J840" s="22"/>
    </row>
    <row r="841" spans="1:10" ht="13.2" x14ac:dyDescent="0.25">
      <c r="A841" s="17"/>
      <c r="B841" s="17"/>
      <c r="D841" s="18"/>
      <c r="E841" s="18"/>
      <c r="F841" s="18"/>
      <c r="G841" s="18"/>
      <c r="H841" s="58"/>
      <c r="I841" s="21"/>
      <c r="J841" s="22"/>
    </row>
    <row r="842" spans="1:10" ht="13.2" x14ac:dyDescent="0.25">
      <c r="A842" s="17"/>
      <c r="B842" s="17"/>
      <c r="D842" s="18"/>
      <c r="E842" s="18"/>
      <c r="F842" s="18"/>
      <c r="G842" s="18"/>
      <c r="H842" s="58"/>
      <c r="I842" s="21"/>
      <c r="J842" s="22"/>
    </row>
    <row r="843" spans="1:10" ht="13.2" x14ac:dyDescent="0.25">
      <c r="A843" s="17"/>
      <c r="B843" s="17"/>
      <c r="D843" s="18"/>
      <c r="E843" s="18"/>
      <c r="F843" s="18"/>
      <c r="G843" s="18"/>
      <c r="H843" s="58"/>
      <c r="I843" s="21"/>
      <c r="J843" s="22"/>
    </row>
    <row r="844" spans="1:10" ht="13.2" x14ac:dyDescent="0.25">
      <c r="A844" s="17"/>
      <c r="B844" s="17"/>
      <c r="D844" s="18"/>
      <c r="E844" s="18"/>
      <c r="F844" s="18"/>
      <c r="G844" s="18"/>
      <c r="H844" s="58"/>
      <c r="I844" s="21"/>
      <c r="J844" s="22"/>
    </row>
    <row r="845" spans="1:10" ht="13.2" x14ac:dyDescent="0.25">
      <c r="A845" s="17"/>
      <c r="B845" s="17"/>
      <c r="D845" s="18"/>
      <c r="E845" s="18"/>
      <c r="F845" s="18"/>
      <c r="G845" s="18"/>
      <c r="H845" s="58"/>
      <c r="I845" s="21"/>
      <c r="J845" s="22"/>
    </row>
    <row r="846" spans="1:10" ht="13.2" x14ac:dyDescent="0.25">
      <c r="A846" s="17"/>
      <c r="B846" s="17"/>
      <c r="D846" s="18"/>
      <c r="E846" s="18"/>
      <c r="F846" s="18"/>
      <c r="G846" s="18"/>
      <c r="H846" s="58"/>
      <c r="I846" s="21"/>
      <c r="J846" s="22"/>
    </row>
    <row r="847" spans="1:10" ht="13.2" x14ac:dyDescent="0.25">
      <c r="A847" s="17"/>
      <c r="B847" s="17"/>
      <c r="D847" s="18"/>
      <c r="E847" s="18"/>
      <c r="F847" s="18"/>
      <c r="G847" s="18"/>
      <c r="H847" s="58"/>
      <c r="I847" s="21"/>
      <c r="J847" s="22"/>
    </row>
    <row r="848" spans="1:10" ht="13.2" x14ac:dyDescent="0.25">
      <c r="A848" s="17"/>
      <c r="B848" s="17"/>
      <c r="D848" s="18"/>
      <c r="E848" s="18"/>
      <c r="F848" s="18"/>
      <c r="G848" s="18"/>
      <c r="H848" s="58"/>
      <c r="I848" s="21"/>
      <c r="J848" s="22"/>
    </row>
    <row r="849" spans="1:10" ht="13.2" x14ac:dyDescent="0.25">
      <c r="A849" s="17"/>
      <c r="B849" s="17"/>
      <c r="D849" s="18"/>
      <c r="E849" s="18"/>
      <c r="F849" s="18"/>
      <c r="G849" s="18"/>
      <c r="H849" s="58"/>
      <c r="I849" s="21"/>
      <c r="J849" s="22"/>
    </row>
    <row r="850" spans="1:10" ht="13.2" x14ac:dyDescent="0.25">
      <c r="A850" s="17"/>
      <c r="B850" s="17"/>
      <c r="D850" s="18"/>
      <c r="E850" s="18"/>
      <c r="F850" s="18"/>
      <c r="G850" s="18"/>
      <c r="H850" s="58"/>
      <c r="I850" s="21"/>
      <c r="J850" s="22"/>
    </row>
    <row r="851" spans="1:10" ht="13.2" x14ac:dyDescent="0.25">
      <c r="A851" s="17"/>
      <c r="B851" s="17"/>
      <c r="D851" s="18"/>
      <c r="E851" s="18"/>
      <c r="F851" s="18"/>
      <c r="G851" s="18"/>
      <c r="H851" s="58"/>
      <c r="I851" s="21"/>
      <c r="J851" s="22"/>
    </row>
    <row r="852" spans="1:10" ht="13.2" x14ac:dyDescent="0.25">
      <c r="A852" s="17"/>
      <c r="B852" s="17"/>
      <c r="D852" s="18"/>
      <c r="E852" s="18"/>
      <c r="F852" s="18"/>
      <c r="G852" s="18"/>
      <c r="H852" s="58"/>
      <c r="I852" s="21"/>
      <c r="J852" s="22"/>
    </row>
    <row r="853" spans="1:10" ht="13.2" x14ac:dyDescent="0.25">
      <c r="A853" s="17"/>
      <c r="B853" s="17"/>
      <c r="D853" s="18"/>
      <c r="E853" s="18"/>
      <c r="F853" s="18"/>
      <c r="G853" s="18"/>
      <c r="H853" s="58"/>
      <c r="I853" s="21"/>
      <c r="J853" s="22"/>
    </row>
    <row r="854" spans="1:10" ht="13.2" x14ac:dyDescent="0.25">
      <c r="A854" s="17"/>
      <c r="B854" s="17"/>
      <c r="D854" s="18"/>
      <c r="E854" s="18"/>
      <c r="F854" s="18"/>
      <c r="G854" s="18"/>
      <c r="H854" s="58"/>
      <c r="I854" s="21"/>
      <c r="J854" s="22"/>
    </row>
    <row r="855" spans="1:10" ht="13.2" x14ac:dyDescent="0.25">
      <c r="A855" s="17"/>
      <c r="B855" s="17"/>
      <c r="D855" s="18"/>
      <c r="E855" s="18"/>
      <c r="F855" s="18"/>
      <c r="G855" s="18"/>
      <c r="H855" s="58"/>
      <c r="I855" s="21"/>
      <c r="J855" s="22"/>
    </row>
    <row r="856" spans="1:10" ht="13.2" x14ac:dyDescent="0.25">
      <c r="A856" s="17"/>
      <c r="B856" s="17"/>
      <c r="D856" s="18"/>
      <c r="E856" s="18"/>
      <c r="F856" s="18"/>
      <c r="G856" s="18"/>
      <c r="H856" s="58"/>
      <c r="I856" s="21"/>
      <c r="J856" s="22"/>
    </row>
    <row r="857" spans="1:10" ht="13.2" x14ac:dyDescent="0.25">
      <c r="A857" s="17"/>
      <c r="B857" s="17"/>
      <c r="D857" s="18"/>
      <c r="E857" s="18"/>
      <c r="F857" s="18"/>
      <c r="G857" s="18"/>
      <c r="H857" s="58"/>
      <c r="I857" s="21"/>
      <c r="J857" s="22"/>
    </row>
    <row r="858" spans="1:10" ht="13.2" x14ac:dyDescent="0.25">
      <c r="A858" s="17"/>
      <c r="B858" s="17"/>
      <c r="D858" s="18"/>
      <c r="E858" s="18"/>
      <c r="F858" s="18"/>
      <c r="G858" s="18"/>
      <c r="H858" s="58"/>
      <c r="I858" s="21"/>
      <c r="J858" s="22"/>
    </row>
    <row r="859" spans="1:10" ht="13.2" x14ac:dyDescent="0.25">
      <c r="A859" s="17"/>
      <c r="B859" s="17"/>
      <c r="D859" s="18"/>
      <c r="E859" s="18"/>
      <c r="F859" s="18"/>
      <c r="G859" s="18"/>
      <c r="H859" s="58"/>
      <c r="I859" s="21"/>
      <c r="J859" s="22"/>
    </row>
    <row r="860" spans="1:10" ht="13.2" x14ac:dyDescent="0.25">
      <c r="A860" s="17"/>
      <c r="B860" s="17"/>
      <c r="D860" s="18"/>
      <c r="E860" s="18"/>
      <c r="F860" s="18"/>
      <c r="G860" s="18"/>
      <c r="H860" s="58"/>
      <c r="I860" s="21"/>
      <c r="J860" s="22"/>
    </row>
    <row r="861" spans="1:10" ht="13.2" x14ac:dyDescent="0.25">
      <c r="A861" s="17"/>
      <c r="B861" s="17"/>
      <c r="D861" s="18"/>
      <c r="E861" s="18"/>
      <c r="F861" s="18"/>
      <c r="G861" s="18"/>
      <c r="H861" s="58"/>
      <c r="I861" s="21"/>
      <c r="J861" s="22"/>
    </row>
    <row r="862" spans="1:10" ht="13.2" x14ac:dyDescent="0.25">
      <c r="A862" s="17"/>
      <c r="B862" s="17"/>
      <c r="D862" s="18"/>
      <c r="E862" s="18"/>
      <c r="F862" s="18"/>
      <c r="G862" s="18"/>
      <c r="H862" s="58"/>
      <c r="I862" s="21"/>
      <c r="J862" s="22"/>
    </row>
    <row r="863" spans="1:10" ht="13.2" x14ac:dyDescent="0.25">
      <c r="A863" s="17"/>
      <c r="B863" s="17"/>
      <c r="D863" s="18"/>
      <c r="E863" s="18"/>
      <c r="F863" s="18"/>
      <c r="G863" s="18"/>
      <c r="H863" s="58"/>
      <c r="I863" s="21"/>
      <c r="J863" s="22"/>
    </row>
    <row r="864" spans="1:10" ht="13.2" x14ac:dyDescent="0.25">
      <c r="A864" s="17"/>
      <c r="B864" s="17"/>
      <c r="D864" s="18"/>
      <c r="E864" s="18"/>
      <c r="F864" s="18"/>
      <c r="G864" s="18"/>
      <c r="H864" s="58"/>
      <c r="I864" s="21"/>
      <c r="J864" s="22"/>
    </row>
    <row r="865" spans="1:10" ht="13.2" x14ac:dyDescent="0.25">
      <c r="A865" s="17"/>
      <c r="B865" s="17"/>
      <c r="D865" s="18"/>
      <c r="E865" s="18"/>
      <c r="F865" s="18"/>
      <c r="G865" s="18"/>
      <c r="H865" s="58"/>
      <c r="I865" s="21"/>
      <c r="J865" s="22"/>
    </row>
    <row r="866" spans="1:10" ht="13.2" x14ac:dyDescent="0.25">
      <c r="A866" s="17"/>
      <c r="B866" s="17"/>
      <c r="D866" s="18"/>
      <c r="E866" s="18"/>
      <c r="F866" s="18"/>
      <c r="G866" s="18"/>
      <c r="H866" s="58"/>
      <c r="I866" s="21"/>
      <c r="J866" s="22"/>
    </row>
    <row r="867" spans="1:10" ht="13.2" x14ac:dyDescent="0.25">
      <c r="A867" s="17"/>
      <c r="B867" s="17"/>
      <c r="D867" s="18"/>
      <c r="E867" s="18"/>
      <c r="F867" s="18"/>
      <c r="G867" s="18"/>
      <c r="H867" s="58"/>
      <c r="I867" s="21"/>
      <c r="J867" s="22"/>
    </row>
    <row r="868" spans="1:10" ht="13.2" x14ac:dyDescent="0.25">
      <c r="A868" s="17"/>
      <c r="B868" s="17"/>
      <c r="D868" s="18"/>
      <c r="E868" s="18"/>
      <c r="F868" s="18"/>
      <c r="G868" s="18"/>
      <c r="H868" s="58"/>
      <c r="I868" s="21"/>
      <c r="J868" s="22"/>
    </row>
    <row r="869" spans="1:10" ht="13.2" x14ac:dyDescent="0.25">
      <c r="A869" s="17"/>
      <c r="B869" s="17"/>
      <c r="D869" s="18"/>
      <c r="E869" s="18"/>
      <c r="F869" s="18"/>
      <c r="G869" s="18"/>
      <c r="H869" s="58"/>
      <c r="I869" s="21"/>
      <c r="J869" s="22"/>
    </row>
    <row r="870" spans="1:10" ht="13.2" x14ac:dyDescent="0.25">
      <c r="A870" s="17"/>
      <c r="B870" s="17"/>
      <c r="D870" s="18"/>
      <c r="E870" s="18"/>
      <c r="F870" s="18"/>
      <c r="G870" s="18"/>
      <c r="H870" s="58"/>
      <c r="I870" s="21"/>
      <c r="J870" s="22"/>
    </row>
    <row r="871" spans="1:10" ht="13.2" x14ac:dyDescent="0.25">
      <c r="A871" s="17"/>
      <c r="B871" s="17"/>
      <c r="D871" s="18"/>
      <c r="E871" s="18"/>
      <c r="F871" s="18"/>
      <c r="G871" s="18"/>
      <c r="H871" s="58"/>
      <c r="I871" s="21"/>
      <c r="J871" s="22"/>
    </row>
    <row r="872" spans="1:10" ht="13.2" x14ac:dyDescent="0.25">
      <c r="A872" s="17"/>
      <c r="B872" s="17"/>
      <c r="D872" s="18"/>
      <c r="E872" s="18"/>
      <c r="F872" s="18"/>
      <c r="G872" s="18"/>
      <c r="H872" s="58"/>
      <c r="I872" s="21"/>
      <c r="J872" s="22"/>
    </row>
    <row r="873" spans="1:10" ht="13.2" x14ac:dyDescent="0.25">
      <c r="A873" s="17"/>
      <c r="B873" s="17"/>
      <c r="D873" s="18"/>
      <c r="E873" s="18"/>
      <c r="F873" s="18"/>
      <c r="G873" s="18"/>
      <c r="H873" s="58"/>
      <c r="I873" s="21"/>
      <c r="J873" s="22"/>
    </row>
    <row r="874" spans="1:10" ht="13.2" x14ac:dyDescent="0.25">
      <c r="A874" s="17"/>
      <c r="B874" s="17"/>
      <c r="D874" s="18"/>
      <c r="E874" s="18"/>
      <c r="F874" s="18"/>
      <c r="G874" s="18"/>
      <c r="H874" s="58"/>
      <c r="I874" s="21"/>
      <c r="J874" s="22"/>
    </row>
    <row r="875" spans="1:10" ht="13.2" x14ac:dyDescent="0.25">
      <c r="A875" s="17"/>
      <c r="B875" s="17"/>
      <c r="D875" s="18"/>
      <c r="E875" s="18"/>
      <c r="F875" s="18"/>
      <c r="G875" s="18"/>
      <c r="H875" s="58"/>
      <c r="I875" s="21"/>
      <c r="J875" s="22"/>
    </row>
    <row r="876" spans="1:10" ht="13.2" x14ac:dyDescent="0.25">
      <c r="A876" s="17"/>
      <c r="B876" s="17"/>
      <c r="D876" s="18"/>
      <c r="E876" s="18"/>
      <c r="F876" s="18"/>
      <c r="G876" s="18"/>
      <c r="H876" s="58"/>
      <c r="I876" s="21"/>
      <c r="J876" s="22"/>
    </row>
    <row r="877" spans="1:10" ht="13.2" x14ac:dyDescent="0.25">
      <c r="A877" s="17"/>
      <c r="B877" s="17"/>
      <c r="D877" s="18"/>
      <c r="E877" s="18"/>
      <c r="F877" s="18"/>
      <c r="G877" s="18"/>
      <c r="H877" s="58"/>
      <c r="I877" s="21"/>
      <c r="J877" s="22"/>
    </row>
    <row r="878" spans="1:10" ht="13.2" x14ac:dyDescent="0.25">
      <c r="A878" s="17"/>
      <c r="B878" s="17"/>
      <c r="D878" s="18"/>
      <c r="E878" s="18"/>
      <c r="F878" s="18"/>
      <c r="G878" s="18"/>
      <c r="H878" s="58"/>
      <c r="I878" s="21"/>
      <c r="J878" s="22"/>
    </row>
    <row r="879" spans="1:10" ht="13.2" x14ac:dyDescent="0.25">
      <c r="A879" s="17"/>
      <c r="B879" s="17"/>
      <c r="D879" s="18"/>
      <c r="E879" s="18"/>
      <c r="F879" s="18"/>
      <c r="G879" s="18"/>
      <c r="H879" s="58"/>
      <c r="I879" s="21"/>
      <c r="J879" s="22"/>
    </row>
    <row r="880" spans="1:10" ht="13.2" x14ac:dyDescent="0.25">
      <c r="A880" s="17"/>
      <c r="B880" s="17"/>
      <c r="D880" s="18"/>
      <c r="E880" s="18"/>
      <c r="F880" s="18"/>
      <c r="G880" s="18"/>
      <c r="H880" s="58"/>
      <c r="I880" s="21"/>
      <c r="J880" s="22"/>
    </row>
    <row r="881" spans="1:10" ht="13.2" x14ac:dyDescent="0.25">
      <c r="A881" s="17"/>
      <c r="B881" s="17"/>
      <c r="D881" s="18"/>
      <c r="E881" s="18"/>
      <c r="F881" s="18"/>
      <c r="G881" s="18"/>
      <c r="H881" s="58"/>
      <c r="I881" s="21"/>
      <c r="J881" s="22"/>
    </row>
    <row r="882" spans="1:10" ht="13.2" x14ac:dyDescent="0.25">
      <c r="A882" s="17"/>
      <c r="B882" s="17"/>
      <c r="D882" s="18"/>
      <c r="E882" s="18"/>
      <c r="F882" s="18"/>
      <c r="G882" s="18"/>
      <c r="H882" s="58"/>
      <c r="I882" s="21"/>
      <c r="J882" s="22"/>
    </row>
    <row r="883" spans="1:10" ht="13.2" x14ac:dyDescent="0.25">
      <c r="A883" s="17"/>
      <c r="B883" s="17"/>
      <c r="D883" s="18"/>
      <c r="E883" s="18"/>
      <c r="F883" s="18"/>
      <c r="G883" s="18"/>
      <c r="H883" s="58"/>
      <c r="I883" s="21"/>
      <c r="J883" s="22"/>
    </row>
    <row r="884" spans="1:10" ht="13.2" x14ac:dyDescent="0.25">
      <c r="A884" s="17"/>
      <c r="B884" s="17"/>
      <c r="D884" s="18"/>
      <c r="E884" s="18"/>
      <c r="F884" s="18"/>
      <c r="G884" s="18"/>
      <c r="H884" s="58"/>
      <c r="I884" s="21"/>
      <c r="J884" s="22"/>
    </row>
    <row r="885" spans="1:10" ht="13.2" x14ac:dyDescent="0.25">
      <c r="A885" s="17"/>
      <c r="B885" s="17"/>
      <c r="D885" s="18"/>
      <c r="E885" s="18"/>
      <c r="F885" s="18"/>
      <c r="G885" s="18"/>
      <c r="H885" s="58"/>
      <c r="I885" s="21"/>
      <c r="J885" s="22"/>
    </row>
    <row r="886" spans="1:10" ht="13.2" x14ac:dyDescent="0.25">
      <c r="A886" s="17"/>
      <c r="B886" s="17"/>
      <c r="D886" s="18"/>
      <c r="E886" s="18"/>
      <c r="F886" s="18"/>
      <c r="G886" s="18"/>
      <c r="H886" s="58"/>
      <c r="I886" s="21"/>
      <c r="J886" s="22"/>
    </row>
    <row r="887" spans="1:10" ht="13.2" x14ac:dyDescent="0.25">
      <c r="A887" s="17"/>
      <c r="B887" s="17"/>
      <c r="D887" s="18"/>
      <c r="E887" s="18"/>
      <c r="F887" s="18"/>
      <c r="G887" s="18"/>
      <c r="H887" s="58"/>
      <c r="I887" s="21"/>
      <c r="J887" s="22"/>
    </row>
    <row r="888" spans="1:10" ht="13.2" x14ac:dyDescent="0.25">
      <c r="A888" s="17"/>
      <c r="B888" s="17"/>
      <c r="D888" s="18"/>
      <c r="E888" s="18"/>
      <c r="F888" s="18"/>
      <c r="G888" s="18"/>
      <c r="H888" s="58"/>
      <c r="I888" s="21"/>
      <c r="J888" s="22"/>
    </row>
    <row r="889" spans="1:10" ht="13.2" x14ac:dyDescent="0.25">
      <c r="A889" s="17"/>
      <c r="B889" s="17"/>
      <c r="D889" s="18"/>
      <c r="E889" s="18"/>
      <c r="F889" s="18"/>
      <c r="G889" s="18"/>
      <c r="H889" s="58"/>
      <c r="I889" s="21"/>
      <c r="J889" s="22"/>
    </row>
    <row r="890" spans="1:10" ht="13.2" x14ac:dyDescent="0.25">
      <c r="A890" s="17"/>
      <c r="B890" s="17"/>
      <c r="D890" s="18"/>
      <c r="E890" s="18"/>
      <c r="F890" s="18"/>
      <c r="G890" s="18"/>
      <c r="H890" s="58"/>
      <c r="I890" s="21"/>
      <c r="J890" s="22"/>
    </row>
    <row r="891" spans="1:10" ht="13.2" x14ac:dyDescent="0.25">
      <c r="A891" s="17"/>
      <c r="B891" s="17"/>
      <c r="D891" s="18"/>
      <c r="E891" s="18"/>
      <c r="F891" s="18"/>
      <c r="G891" s="18"/>
      <c r="H891" s="58"/>
      <c r="I891" s="21"/>
      <c r="J891" s="22"/>
    </row>
    <row r="892" spans="1:10" ht="13.2" x14ac:dyDescent="0.25">
      <c r="A892" s="17"/>
      <c r="B892" s="17"/>
      <c r="D892" s="18"/>
      <c r="E892" s="18"/>
      <c r="F892" s="18"/>
      <c r="G892" s="18"/>
      <c r="H892" s="58"/>
      <c r="I892" s="21"/>
      <c r="J892" s="22"/>
    </row>
    <row r="893" spans="1:10" ht="13.2" x14ac:dyDescent="0.25">
      <c r="A893" s="17"/>
      <c r="B893" s="17"/>
      <c r="D893" s="18"/>
      <c r="E893" s="18"/>
      <c r="F893" s="18"/>
      <c r="G893" s="18"/>
      <c r="H893" s="58"/>
      <c r="I893" s="21"/>
      <c r="J893" s="22"/>
    </row>
    <row r="894" spans="1:10" ht="13.2" x14ac:dyDescent="0.25">
      <c r="A894" s="17"/>
      <c r="B894" s="17"/>
      <c r="D894" s="18"/>
      <c r="E894" s="18"/>
      <c r="F894" s="18"/>
      <c r="G894" s="18"/>
      <c r="H894" s="58"/>
      <c r="I894" s="21"/>
      <c r="J894" s="22"/>
    </row>
    <row r="895" spans="1:10" ht="13.2" x14ac:dyDescent="0.25">
      <c r="A895" s="17"/>
      <c r="B895" s="17"/>
      <c r="D895" s="18"/>
      <c r="E895" s="18"/>
      <c r="F895" s="18"/>
      <c r="G895" s="18"/>
      <c r="H895" s="58"/>
      <c r="I895" s="21"/>
      <c r="J895" s="22"/>
    </row>
    <row r="896" spans="1:10" ht="13.2" x14ac:dyDescent="0.25">
      <c r="A896" s="17"/>
      <c r="B896" s="17"/>
      <c r="D896" s="18"/>
      <c r="E896" s="18"/>
      <c r="F896" s="18"/>
      <c r="G896" s="18"/>
      <c r="H896" s="58"/>
      <c r="I896" s="21"/>
      <c r="J896" s="22"/>
    </row>
    <row r="897" spans="1:10" ht="13.2" x14ac:dyDescent="0.25">
      <c r="A897" s="17"/>
      <c r="B897" s="17"/>
      <c r="D897" s="18"/>
      <c r="E897" s="18"/>
      <c r="F897" s="18"/>
      <c r="G897" s="18"/>
      <c r="H897" s="58"/>
      <c r="I897" s="21"/>
      <c r="J897" s="22"/>
    </row>
    <row r="898" spans="1:10" ht="13.2" x14ac:dyDescent="0.25">
      <c r="A898" s="17"/>
      <c r="B898" s="17"/>
      <c r="D898" s="18"/>
      <c r="E898" s="18"/>
      <c r="F898" s="18"/>
      <c r="G898" s="18"/>
      <c r="H898" s="58"/>
      <c r="I898" s="21"/>
      <c r="J898" s="22"/>
    </row>
    <row r="899" spans="1:10" ht="13.2" x14ac:dyDescent="0.25">
      <c r="A899" s="17"/>
      <c r="B899" s="17"/>
      <c r="D899" s="18"/>
      <c r="E899" s="18"/>
      <c r="F899" s="18"/>
      <c r="G899" s="18"/>
      <c r="H899" s="58"/>
      <c r="I899" s="21"/>
      <c r="J899" s="22"/>
    </row>
    <row r="900" spans="1:10" ht="13.2" x14ac:dyDescent="0.25">
      <c r="A900" s="17"/>
      <c r="B900" s="17"/>
      <c r="D900" s="18"/>
      <c r="E900" s="18"/>
      <c r="F900" s="18"/>
      <c r="G900" s="18"/>
      <c r="H900" s="58"/>
      <c r="I900" s="21"/>
      <c r="J900" s="22"/>
    </row>
    <row r="901" spans="1:10" ht="13.2" x14ac:dyDescent="0.25">
      <c r="A901" s="17"/>
      <c r="B901" s="17"/>
      <c r="D901" s="18"/>
      <c r="E901" s="18"/>
      <c r="F901" s="18"/>
      <c r="G901" s="18"/>
      <c r="H901" s="58"/>
      <c r="I901" s="21"/>
      <c r="J901" s="22"/>
    </row>
    <row r="902" spans="1:10" ht="13.2" x14ac:dyDescent="0.25">
      <c r="A902" s="17"/>
      <c r="B902" s="17"/>
      <c r="D902" s="18"/>
      <c r="E902" s="18"/>
      <c r="F902" s="18"/>
      <c r="G902" s="18"/>
      <c r="H902" s="58"/>
      <c r="I902" s="21"/>
      <c r="J902" s="22"/>
    </row>
    <row r="903" spans="1:10" ht="13.2" x14ac:dyDescent="0.25">
      <c r="A903" s="17"/>
      <c r="B903" s="17"/>
      <c r="D903" s="18"/>
      <c r="E903" s="18"/>
      <c r="F903" s="18"/>
      <c r="G903" s="18"/>
      <c r="H903" s="58"/>
      <c r="I903" s="21"/>
      <c r="J903" s="22"/>
    </row>
    <row r="904" spans="1:10" ht="13.2" x14ac:dyDescent="0.25">
      <c r="A904" s="17"/>
      <c r="B904" s="17"/>
      <c r="D904" s="18"/>
      <c r="E904" s="18"/>
      <c r="F904" s="18"/>
      <c r="G904" s="18"/>
      <c r="H904" s="58"/>
      <c r="I904" s="21"/>
      <c r="J904" s="22"/>
    </row>
    <row r="905" spans="1:10" ht="13.2" x14ac:dyDescent="0.25">
      <c r="A905" s="17"/>
      <c r="B905" s="17"/>
      <c r="D905" s="18"/>
      <c r="E905" s="18"/>
      <c r="F905" s="18"/>
      <c r="G905" s="18"/>
      <c r="H905" s="58"/>
      <c r="I905" s="21"/>
      <c r="J905" s="22"/>
    </row>
    <row r="906" spans="1:10" ht="13.2" x14ac:dyDescent="0.25">
      <c r="A906" s="17"/>
      <c r="B906" s="17"/>
      <c r="D906" s="18"/>
      <c r="E906" s="18"/>
      <c r="F906" s="18"/>
      <c r="G906" s="18"/>
      <c r="H906" s="58"/>
      <c r="I906" s="21"/>
      <c r="J906" s="22"/>
    </row>
    <row r="907" spans="1:10" ht="13.2" x14ac:dyDescent="0.25">
      <c r="A907" s="17"/>
      <c r="B907" s="17"/>
      <c r="D907" s="18"/>
      <c r="E907" s="18"/>
      <c r="F907" s="18"/>
      <c r="G907" s="18"/>
      <c r="H907" s="58"/>
      <c r="I907" s="21"/>
      <c r="J907" s="22"/>
    </row>
    <row r="908" spans="1:10" ht="13.2" x14ac:dyDescent="0.25">
      <c r="A908" s="17"/>
      <c r="B908" s="17"/>
      <c r="D908" s="18"/>
      <c r="E908" s="18"/>
      <c r="F908" s="18"/>
      <c r="G908" s="18"/>
      <c r="H908" s="58"/>
      <c r="I908" s="21"/>
      <c r="J908" s="22"/>
    </row>
    <row r="909" spans="1:10" ht="13.2" x14ac:dyDescent="0.25">
      <c r="A909" s="17"/>
      <c r="B909" s="17"/>
      <c r="D909" s="18"/>
      <c r="E909" s="18"/>
      <c r="F909" s="18"/>
      <c r="G909" s="18"/>
      <c r="H909" s="58"/>
      <c r="I909" s="21"/>
      <c r="J909" s="22"/>
    </row>
    <row r="910" spans="1:10" ht="13.2" x14ac:dyDescent="0.25">
      <c r="A910" s="17"/>
      <c r="B910" s="17"/>
      <c r="D910" s="18"/>
      <c r="E910" s="18"/>
      <c r="F910" s="18"/>
      <c r="G910" s="18"/>
      <c r="H910" s="58"/>
      <c r="I910" s="21"/>
      <c r="J910" s="22"/>
    </row>
    <row r="911" spans="1:10" ht="13.2" x14ac:dyDescent="0.25">
      <c r="A911" s="17"/>
      <c r="B911" s="17"/>
      <c r="D911" s="18"/>
      <c r="E911" s="18"/>
      <c r="F911" s="18"/>
      <c r="G911" s="18"/>
      <c r="H911" s="58"/>
      <c r="I911" s="21"/>
      <c r="J911" s="22"/>
    </row>
    <row r="912" spans="1:10" ht="13.2" x14ac:dyDescent="0.25">
      <c r="A912" s="17"/>
      <c r="B912" s="17"/>
      <c r="D912" s="18"/>
      <c r="E912" s="18"/>
      <c r="F912" s="18"/>
      <c r="G912" s="18"/>
      <c r="H912" s="58"/>
      <c r="I912" s="21"/>
      <c r="J912" s="22"/>
    </row>
    <row r="913" spans="1:10" ht="13.2" x14ac:dyDescent="0.25">
      <c r="A913" s="17"/>
      <c r="B913" s="17"/>
      <c r="D913" s="18"/>
      <c r="E913" s="18"/>
      <c r="F913" s="18"/>
      <c r="G913" s="18"/>
      <c r="H913" s="58"/>
      <c r="I913" s="21"/>
      <c r="J913" s="22"/>
    </row>
    <row r="914" spans="1:10" ht="13.2" x14ac:dyDescent="0.25">
      <c r="A914" s="17"/>
      <c r="B914" s="17"/>
      <c r="D914" s="18"/>
      <c r="E914" s="18"/>
      <c r="F914" s="18"/>
      <c r="G914" s="18"/>
      <c r="H914" s="58"/>
      <c r="I914" s="21"/>
      <c r="J914" s="22"/>
    </row>
    <row r="915" spans="1:10" ht="13.2" x14ac:dyDescent="0.25">
      <c r="A915" s="17"/>
      <c r="B915" s="17"/>
      <c r="D915" s="18"/>
      <c r="E915" s="18"/>
      <c r="F915" s="18"/>
      <c r="G915" s="18"/>
      <c r="H915" s="58"/>
      <c r="I915" s="21"/>
      <c r="J915" s="22"/>
    </row>
    <row r="916" spans="1:10" ht="13.2" x14ac:dyDescent="0.25">
      <c r="A916" s="17"/>
      <c r="B916" s="17"/>
      <c r="D916" s="18"/>
      <c r="E916" s="18"/>
      <c r="F916" s="18"/>
      <c r="G916" s="18"/>
      <c r="H916" s="58"/>
      <c r="I916" s="21"/>
      <c r="J916" s="22"/>
    </row>
    <row r="917" spans="1:10" ht="13.2" x14ac:dyDescent="0.25">
      <c r="A917" s="17"/>
      <c r="B917" s="17"/>
      <c r="D917" s="18"/>
      <c r="E917" s="18"/>
      <c r="F917" s="18"/>
      <c r="G917" s="18"/>
      <c r="H917" s="58"/>
      <c r="I917" s="21"/>
      <c r="J917" s="22"/>
    </row>
    <row r="918" spans="1:10" ht="13.2" x14ac:dyDescent="0.25">
      <c r="A918" s="17"/>
      <c r="B918" s="17"/>
      <c r="D918" s="18"/>
      <c r="E918" s="18"/>
      <c r="F918" s="18"/>
      <c r="G918" s="18"/>
      <c r="H918" s="58"/>
      <c r="I918" s="21"/>
      <c r="J918" s="22"/>
    </row>
    <row r="919" spans="1:10" ht="13.2" x14ac:dyDescent="0.25">
      <c r="A919" s="17"/>
      <c r="B919" s="17"/>
      <c r="D919" s="18"/>
      <c r="E919" s="18"/>
      <c r="F919" s="18"/>
      <c r="G919" s="18"/>
      <c r="H919" s="58"/>
      <c r="I919" s="21"/>
      <c r="J919" s="22"/>
    </row>
    <row r="920" spans="1:10" ht="13.2" x14ac:dyDescent="0.25">
      <c r="A920" s="17"/>
      <c r="B920" s="17"/>
      <c r="D920" s="18"/>
      <c r="E920" s="18"/>
      <c r="F920" s="18"/>
      <c r="G920" s="18"/>
      <c r="H920" s="58"/>
      <c r="I920" s="21"/>
      <c r="J920" s="22"/>
    </row>
    <row r="921" spans="1:10" ht="13.2" x14ac:dyDescent="0.25">
      <c r="A921" s="17"/>
      <c r="B921" s="17"/>
      <c r="D921" s="18"/>
      <c r="E921" s="18"/>
      <c r="F921" s="18"/>
      <c r="G921" s="18"/>
      <c r="H921" s="58"/>
      <c r="I921" s="21"/>
      <c r="J921" s="22"/>
    </row>
    <row r="922" spans="1:10" ht="13.2" x14ac:dyDescent="0.25">
      <c r="A922" s="17"/>
      <c r="B922" s="17"/>
      <c r="D922" s="18"/>
      <c r="E922" s="18"/>
      <c r="F922" s="18"/>
      <c r="G922" s="18"/>
      <c r="H922" s="58"/>
      <c r="I922" s="21"/>
      <c r="J922" s="22"/>
    </row>
    <row r="923" spans="1:10" ht="13.2" x14ac:dyDescent="0.25">
      <c r="A923" s="17"/>
      <c r="B923" s="17"/>
      <c r="D923" s="18"/>
      <c r="E923" s="18"/>
      <c r="F923" s="18"/>
      <c r="G923" s="18"/>
      <c r="H923" s="58"/>
      <c r="I923" s="21"/>
      <c r="J923" s="22"/>
    </row>
    <row r="924" spans="1:10" ht="13.2" x14ac:dyDescent="0.25">
      <c r="A924" s="17"/>
      <c r="B924" s="17"/>
      <c r="D924" s="18"/>
      <c r="E924" s="18"/>
      <c r="F924" s="18"/>
      <c r="G924" s="18"/>
      <c r="H924" s="58"/>
      <c r="I924" s="21"/>
      <c r="J924" s="22"/>
    </row>
    <row r="925" spans="1:10" ht="13.2" x14ac:dyDescent="0.25">
      <c r="A925" s="17"/>
      <c r="B925" s="17"/>
      <c r="D925" s="18"/>
      <c r="E925" s="18"/>
      <c r="F925" s="18"/>
      <c r="G925" s="18"/>
      <c r="H925" s="58"/>
      <c r="I925" s="21"/>
      <c r="J925" s="22"/>
    </row>
    <row r="926" spans="1:10" ht="13.2" x14ac:dyDescent="0.25">
      <c r="A926" s="17"/>
      <c r="B926" s="17"/>
      <c r="D926" s="18"/>
      <c r="E926" s="18"/>
      <c r="F926" s="18"/>
      <c r="G926" s="18"/>
      <c r="H926" s="58"/>
      <c r="I926" s="21"/>
      <c r="J926" s="22"/>
    </row>
    <row r="927" spans="1:10" ht="13.2" x14ac:dyDescent="0.25">
      <c r="A927" s="17"/>
      <c r="B927" s="17"/>
      <c r="D927" s="18"/>
      <c r="E927" s="18"/>
      <c r="F927" s="18"/>
      <c r="G927" s="18"/>
      <c r="H927" s="58"/>
      <c r="I927" s="21"/>
      <c r="J927" s="22"/>
    </row>
    <row r="928" spans="1:10" ht="13.2" x14ac:dyDescent="0.25">
      <c r="A928" s="17"/>
      <c r="B928" s="17"/>
      <c r="D928" s="18"/>
      <c r="E928" s="18"/>
      <c r="F928" s="18"/>
      <c r="G928" s="18"/>
      <c r="H928" s="58"/>
      <c r="I928" s="21"/>
      <c r="J928" s="22"/>
    </row>
    <row r="929" spans="1:10" ht="13.2" x14ac:dyDescent="0.25">
      <c r="A929" s="17"/>
      <c r="B929" s="17"/>
      <c r="D929" s="18"/>
      <c r="E929" s="18"/>
      <c r="F929" s="18"/>
      <c r="G929" s="18"/>
      <c r="H929" s="58"/>
      <c r="I929" s="21"/>
      <c r="J929" s="22"/>
    </row>
    <row r="930" spans="1:10" ht="13.2" x14ac:dyDescent="0.25">
      <c r="A930" s="17"/>
      <c r="B930" s="17"/>
      <c r="D930" s="18"/>
      <c r="E930" s="18"/>
      <c r="F930" s="18"/>
      <c r="G930" s="18"/>
      <c r="H930" s="58"/>
      <c r="I930" s="21"/>
      <c r="J930" s="22"/>
    </row>
    <row r="931" spans="1:10" ht="13.2" x14ac:dyDescent="0.25">
      <c r="A931" s="17"/>
      <c r="B931" s="17"/>
      <c r="D931" s="18"/>
      <c r="E931" s="18"/>
      <c r="F931" s="18"/>
      <c r="G931" s="18"/>
      <c r="H931" s="58"/>
      <c r="I931" s="21"/>
      <c r="J931" s="22"/>
    </row>
    <row r="932" spans="1:10" ht="13.2" x14ac:dyDescent="0.25">
      <c r="A932" s="17"/>
      <c r="B932" s="17"/>
      <c r="D932" s="18"/>
      <c r="E932" s="18"/>
      <c r="F932" s="18"/>
      <c r="G932" s="18"/>
      <c r="H932" s="58"/>
      <c r="I932" s="21"/>
      <c r="J932" s="22"/>
    </row>
    <row r="933" spans="1:10" ht="13.2" x14ac:dyDescent="0.25">
      <c r="A933" s="17"/>
      <c r="B933" s="17"/>
      <c r="D933" s="18"/>
      <c r="E933" s="18"/>
      <c r="F933" s="18"/>
      <c r="G933" s="18"/>
      <c r="H933" s="58"/>
      <c r="I933" s="21"/>
      <c r="J933" s="22"/>
    </row>
    <row r="934" spans="1:10" ht="13.2" x14ac:dyDescent="0.25">
      <c r="A934" s="17"/>
      <c r="B934" s="17"/>
      <c r="D934" s="18"/>
      <c r="E934" s="18"/>
      <c r="F934" s="18"/>
      <c r="G934" s="18"/>
      <c r="H934" s="58"/>
      <c r="I934" s="21"/>
      <c r="J934" s="22"/>
    </row>
    <row r="935" spans="1:10" ht="13.2" x14ac:dyDescent="0.25">
      <c r="A935" s="17"/>
      <c r="B935" s="17"/>
      <c r="D935" s="18"/>
      <c r="E935" s="18"/>
      <c r="F935" s="18"/>
      <c r="G935" s="18"/>
      <c r="H935" s="58"/>
      <c r="I935" s="21"/>
      <c r="J935" s="22"/>
    </row>
    <row r="936" spans="1:10" ht="13.2" x14ac:dyDescent="0.25">
      <c r="A936" s="17"/>
      <c r="B936" s="17"/>
      <c r="D936" s="18"/>
      <c r="E936" s="18"/>
      <c r="F936" s="18"/>
      <c r="G936" s="18"/>
      <c r="H936" s="58"/>
      <c r="I936" s="21"/>
      <c r="J936" s="22"/>
    </row>
    <row r="937" spans="1:10" ht="13.2" x14ac:dyDescent="0.25">
      <c r="A937" s="17"/>
      <c r="B937" s="17"/>
      <c r="D937" s="18"/>
      <c r="E937" s="18"/>
      <c r="F937" s="18"/>
      <c r="G937" s="18"/>
      <c r="H937" s="58"/>
      <c r="I937" s="21"/>
      <c r="J937" s="22"/>
    </row>
    <row r="938" spans="1:10" ht="13.2" x14ac:dyDescent="0.25">
      <c r="A938" s="17"/>
      <c r="B938" s="17"/>
      <c r="D938" s="18"/>
      <c r="E938" s="18"/>
      <c r="F938" s="18"/>
      <c r="G938" s="18"/>
      <c r="H938" s="58"/>
      <c r="I938" s="21"/>
      <c r="J938" s="22"/>
    </row>
    <row r="939" spans="1:10" ht="13.2" x14ac:dyDescent="0.25">
      <c r="A939" s="17"/>
      <c r="B939" s="17"/>
      <c r="D939" s="18"/>
      <c r="E939" s="18"/>
      <c r="F939" s="18"/>
      <c r="G939" s="18"/>
      <c r="H939" s="58"/>
      <c r="I939" s="21"/>
      <c r="J939" s="22"/>
    </row>
    <row r="940" spans="1:10" ht="13.2" x14ac:dyDescent="0.25">
      <c r="A940" s="17"/>
      <c r="B940" s="17"/>
      <c r="D940" s="18"/>
      <c r="E940" s="18"/>
      <c r="F940" s="18"/>
      <c r="G940" s="18"/>
      <c r="H940" s="58"/>
      <c r="I940" s="21"/>
      <c r="J940" s="22"/>
    </row>
    <row r="941" spans="1:10" ht="13.2" x14ac:dyDescent="0.25">
      <c r="A941" s="17"/>
      <c r="B941" s="17"/>
      <c r="D941" s="18"/>
      <c r="E941" s="18"/>
      <c r="F941" s="18"/>
      <c r="G941" s="18"/>
      <c r="H941" s="58"/>
      <c r="I941" s="21"/>
      <c r="J941" s="22"/>
    </row>
    <row r="942" spans="1:10" ht="13.2" x14ac:dyDescent="0.25">
      <c r="A942" s="17"/>
      <c r="B942" s="17"/>
      <c r="D942" s="18"/>
      <c r="E942" s="18"/>
      <c r="F942" s="18"/>
      <c r="G942" s="18"/>
      <c r="H942" s="58"/>
      <c r="I942" s="21"/>
      <c r="J942" s="22"/>
    </row>
    <row r="943" spans="1:10" ht="13.2" x14ac:dyDescent="0.25">
      <c r="A943" s="17"/>
      <c r="B943" s="17"/>
      <c r="D943" s="18"/>
      <c r="E943" s="18"/>
      <c r="F943" s="18"/>
      <c r="G943" s="18"/>
      <c r="H943" s="58"/>
      <c r="I943" s="21"/>
      <c r="J943" s="22"/>
    </row>
    <row r="944" spans="1:10" ht="13.2" x14ac:dyDescent="0.25">
      <c r="A944" s="17"/>
      <c r="B944" s="17"/>
      <c r="D944" s="18"/>
      <c r="E944" s="18"/>
      <c r="F944" s="18"/>
      <c r="G944" s="18"/>
      <c r="H944" s="58"/>
      <c r="I944" s="21"/>
      <c r="J944" s="22"/>
    </row>
    <row r="945" spans="1:10" ht="13.2" x14ac:dyDescent="0.25">
      <c r="A945" s="17"/>
      <c r="B945" s="17"/>
      <c r="D945" s="18"/>
      <c r="E945" s="18"/>
      <c r="F945" s="18"/>
      <c r="G945" s="18"/>
      <c r="H945" s="58"/>
      <c r="I945" s="21"/>
      <c r="J945" s="22"/>
    </row>
    <row r="946" spans="1:10" ht="13.2" x14ac:dyDescent="0.25">
      <c r="A946" s="17"/>
      <c r="B946" s="17"/>
      <c r="D946" s="18"/>
      <c r="E946" s="18"/>
      <c r="F946" s="18"/>
      <c r="G946" s="18"/>
      <c r="H946" s="58"/>
      <c r="I946" s="21"/>
      <c r="J946" s="22"/>
    </row>
    <row r="947" spans="1:10" ht="13.2" x14ac:dyDescent="0.25">
      <c r="A947" s="17"/>
      <c r="B947" s="17"/>
      <c r="D947" s="18"/>
      <c r="E947" s="18"/>
      <c r="F947" s="18"/>
      <c r="G947" s="18"/>
      <c r="H947" s="58"/>
      <c r="I947" s="21"/>
      <c r="J947" s="22"/>
    </row>
    <row r="948" spans="1:10" ht="13.2" x14ac:dyDescent="0.25">
      <c r="A948" s="17"/>
      <c r="B948" s="17"/>
      <c r="D948" s="18"/>
      <c r="E948" s="18"/>
      <c r="F948" s="18"/>
      <c r="G948" s="18"/>
      <c r="H948" s="58"/>
      <c r="I948" s="21"/>
      <c r="J948" s="22"/>
    </row>
    <row r="949" spans="1:10" ht="13.2" x14ac:dyDescent="0.25">
      <c r="A949" s="17"/>
      <c r="B949" s="17"/>
      <c r="D949" s="18"/>
      <c r="E949" s="18"/>
      <c r="F949" s="18"/>
      <c r="G949" s="18"/>
      <c r="H949" s="58"/>
      <c r="I949" s="21"/>
      <c r="J949" s="22"/>
    </row>
    <row r="950" spans="1:10" ht="13.2" x14ac:dyDescent="0.25">
      <c r="A950" s="17"/>
      <c r="B950" s="17"/>
      <c r="D950" s="18"/>
      <c r="E950" s="18"/>
      <c r="F950" s="18"/>
      <c r="G950" s="18"/>
      <c r="H950" s="58"/>
      <c r="I950" s="21"/>
      <c r="J950" s="22"/>
    </row>
    <row r="951" spans="1:10" ht="13.2" x14ac:dyDescent="0.25">
      <c r="A951" s="17"/>
      <c r="B951" s="17"/>
      <c r="D951" s="18"/>
      <c r="E951" s="18"/>
      <c r="F951" s="18"/>
      <c r="G951" s="18"/>
      <c r="H951" s="58"/>
      <c r="I951" s="21"/>
      <c r="J951" s="22"/>
    </row>
    <row r="952" spans="1:10" ht="13.2" x14ac:dyDescent="0.25">
      <c r="A952" s="17"/>
      <c r="B952" s="17"/>
      <c r="D952" s="18"/>
      <c r="E952" s="18"/>
      <c r="F952" s="18"/>
      <c r="G952" s="18"/>
      <c r="H952" s="58"/>
      <c r="I952" s="21"/>
      <c r="J952" s="22"/>
    </row>
    <row r="953" spans="1:10" ht="13.2" x14ac:dyDescent="0.25">
      <c r="A953" s="17"/>
      <c r="B953" s="17"/>
      <c r="D953" s="18"/>
      <c r="E953" s="18"/>
      <c r="F953" s="18"/>
      <c r="G953" s="18"/>
      <c r="H953" s="58"/>
      <c r="I953" s="21"/>
      <c r="J953" s="22"/>
    </row>
    <row r="954" spans="1:10" ht="13.2" x14ac:dyDescent="0.25">
      <c r="A954" s="17"/>
      <c r="B954" s="17"/>
      <c r="D954" s="18"/>
      <c r="E954" s="18"/>
      <c r="F954" s="18"/>
      <c r="G954" s="18"/>
      <c r="H954" s="58"/>
      <c r="I954" s="21"/>
      <c r="J954" s="22"/>
    </row>
    <row r="955" spans="1:10" ht="13.2" x14ac:dyDescent="0.25">
      <c r="A955" s="17"/>
      <c r="B955" s="17"/>
      <c r="D955" s="18"/>
      <c r="E955" s="18"/>
      <c r="F955" s="18"/>
      <c r="G955" s="18"/>
      <c r="H955" s="58"/>
      <c r="I955" s="21"/>
      <c r="J955" s="22"/>
    </row>
    <row r="956" spans="1:10" ht="13.2" x14ac:dyDescent="0.25">
      <c r="A956" s="17"/>
      <c r="B956" s="17"/>
      <c r="D956" s="18"/>
      <c r="E956" s="18"/>
      <c r="F956" s="18"/>
      <c r="G956" s="18"/>
      <c r="H956" s="58"/>
      <c r="I956" s="21"/>
      <c r="J956" s="22"/>
    </row>
    <row r="957" spans="1:10" ht="13.2" x14ac:dyDescent="0.25">
      <c r="A957" s="17"/>
      <c r="B957" s="17"/>
      <c r="D957" s="18"/>
      <c r="E957" s="18"/>
      <c r="F957" s="18"/>
      <c r="G957" s="18"/>
      <c r="H957" s="58"/>
      <c r="I957" s="21"/>
      <c r="J957" s="22"/>
    </row>
    <row r="958" spans="1:10" ht="13.2" x14ac:dyDescent="0.25">
      <c r="A958" s="17"/>
      <c r="B958" s="17"/>
      <c r="D958" s="18"/>
      <c r="E958" s="18"/>
      <c r="F958" s="18"/>
      <c r="G958" s="18"/>
      <c r="H958" s="58"/>
      <c r="I958" s="21"/>
      <c r="J958" s="22"/>
    </row>
    <row r="959" spans="1:10" ht="13.2" x14ac:dyDescent="0.25">
      <c r="A959" s="17"/>
      <c r="B959" s="17"/>
      <c r="D959" s="18"/>
      <c r="E959" s="18"/>
      <c r="F959" s="18"/>
      <c r="G959" s="18"/>
      <c r="H959" s="58"/>
      <c r="I959" s="21"/>
      <c r="J959" s="22"/>
    </row>
    <row r="960" spans="1:10" ht="13.2" x14ac:dyDescent="0.25">
      <c r="A960" s="17"/>
      <c r="B960" s="17"/>
      <c r="D960" s="18"/>
      <c r="E960" s="18"/>
      <c r="F960" s="18"/>
      <c r="G960" s="18"/>
      <c r="H960" s="58"/>
      <c r="I960" s="21"/>
      <c r="J960" s="22"/>
    </row>
    <row r="961" spans="1:10" ht="13.2" x14ac:dyDescent="0.25">
      <c r="A961" s="17"/>
      <c r="B961" s="17"/>
      <c r="D961" s="18"/>
      <c r="E961" s="18"/>
      <c r="F961" s="18"/>
      <c r="G961" s="18"/>
      <c r="H961" s="58"/>
      <c r="I961" s="21"/>
      <c r="J961" s="22"/>
    </row>
    <row r="962" spans="1:10" ht="13.2" x14ac:dyDescent="0.25">
      <c r="A962" s="17"/>
      <c r="B962" s="17"/>
      <c r="D962" s="18"/>
      <c r="E962" s="18"/>
      <c r="F962" s="18"/>
      <c r="G962" s="18"/>
      <c r="H962" s="58"/>
      <c r="I962" s="21"/>
      <c r="J962" s="22"/>
    </row>
    <row r="963" spans="1:10" ht="13.2" x14ac:dyDescent="0.25">
      <c r="A963" s="17"/>
      <c r="B963" s="17"/>
      <c r="D963" s="18"/>
      <c r="E963" s="18"/>
      <c r="F963" s="18"/>
      <c r="G963" s="18"/>
      <c r="H963" s="58"/>
      <c r="I963" s="21"/>
      <c r="J963" s="22"/>
    </row>
    <row r="964" spans="1:10" ht="13.2" x14ac:dyDescent="0.25">
      <c r="A964" s="17"/>
      <c r="B964" s="17"/>
      <c r="D964" s="18"/>
      <c r="E964" s="18"/>
      <c r="F964" s="18"/>
      <c r="G964" s="18"/>
      <c r="H964" s="58"/>
      <c r="I964" s="21"/>
      <c r="J964" s="22"/>
    </row>
    <row r="965" spans="1:10" ht="13.2" x14ac:dyDescent="0.25">
      <c r="A965" s="17"/>
      <c r="B965" s="17"/>
      <c r="D965" s="18"/>
      <c r="E965" s="18"/>
      <c r="F965" s="18"/>
      <c r="G965" s="18"/>
      <c r="H965" s="58"/>
      <c r="I965" s="21"/>
      <c r="J965" s="22"/>
    </row>
    <row r="966" spans="1:10" ht="13.2" x14ac:dyDescent="0.25">
      <c r="A966" s="17"/>
      <c r="B966" s="17"/>
      <c r="D966" s="18"/>
      <c r="E966" s="18"/>
      <c r="F966" s="18"/>
      <c r="G966" s="18"/>
      <c r="H966" s="58"/>
      <c r="I966" s="21"/>
      <c r="J966" s="22"/>
    </row>
    <row r="967" spans="1:10" ht="13.2" x14ac:dyDescent="0.25">
      <c r="A967" s="17"/>
      <c r="B967" s="17"/>
      <c r="D967" s="18"/>
      <c r="E967" s="18"/>
      <c r="F967" s="18"/>
      <c r="G967" s="18"/>
      <c r="H967" s="58"/>
      <c r="I967" s="21"/>
      <c r="J967" s="22"/>
    </row>
    <row r="968" spans="1:10" ht="13.2" x14ac:dyDescent="0.25">
      <c r="A968" s="17"/>
      <c r="B968" s="17"/>
      <c r="D968" s="18"/>
      <c r="E968" s="18"/>
      <c r="F968" s="18"/>
      <c r="G968" s="18"/>
      <c r="H968" s="58"/>
      <c r="I968" s="21"/>
      <c r="J968" s="22"/>
    </row>
    <row r="969" spans="1:10" ht="13.2" x14ac:dyDescent="0.25">
      <c r="A969" s="17"/>
      <c r="B969" s="17"/>
      <c r="D969" s="18"/>
      <c r="E969" s="18"/>
      <c r="F969" s="18"/>
      <c r="G969" s="18"/>
      <c r="H969" s="58"/>
      <c r="I969" s="21"/>
      <c r="J969" s="22"/>
    </row>
    <row r="970" spans="1:10" ht="13.2" x14ac:dyDescent="0.25">
      <c r="A970" s="17"/>
      <c r="B970" s="17"/>
      <c r="D970" s="18"/>
      <c r="E970" s="18"/>
      <c r="F970" s="18"/>
      <c r="G970" s="18"/>
      <c r="H970" s="58"/>
      <c r="I970" s="21"/>
      <c r="J970" s="22"/>
    </row>
    <row r="971" spans="1:10" ht="13.2" x14ac:dyDescent="0.25">
      <c r="A971" s="17"/>
      <c r="B971" s="17"/>
      <c r="D971" s="18"/>
      <c r="E971" s="18"/>
      <c r="F971" s="18"/>
      <c r="G971" s="18"/>
      <c r="H971" s="58"/>
      <c r="I971" s="21"/>
      <c r="J971" s="22"/>
    </row>
    <row r="972" spans="1:10" ht="13.2" x14ac:dyDescent="0.25">
      <c r="A972" s="17"/>
      <c r="B972" s="17"/>
      <c r="D972" s="18"/>
      <c r="E972" s="18"/>
      <c r="F972" s="18"/>
      <c r="G972" s="18"/>
      <c r="H972" s="58"/>
      <c r="I972" s="21"/>
      <c r="J972" s="22"/>
    </row>
    <row r="973" spans="1:10" ht="13.2" x14ac:dyDescent="0.25">
      <c r="A973" s="17"/>
      <c r="B973" s="17"/>
      <c r="D973" s="18"/>
      <c r="E973" s="18"/>
      <c r="F973" s="18"/>
      <c r="G973" s="18"/>
      <c r="H973" s="58"/>
      <c r="I973" s="21"/>
      <c r="J973" s="22"/>
    </row>
    <row r="974" spans="1:10" ht="13.2" x14ac:dyDescent="0.25">
      <c r="A974" s="17"/>
      <c r="B974" s="17"/>
      <c r="D974" s="18"/>
      <c r="E974" s="18"/>
      <c r="F974" s="18"/>
      <c r="G974" s="18"/>
      <c r="H974" s="58"/>
      <c r="I974" s="21"/>
      <c r="J974" s="22"/>
    </row>
    <row r="975" spans="1:10" ht="13.2" x14ac:dyDescent="0.25">
      <c r="A975" s="17"/>
      <c r="B975" s="17"/>
      <c r="D975" s="18"/>
      <c r="E975" s="18"/>
      <c r="F975" s="18"/>
      <c r="G975" s="18"/>
      <c r="H975" s="58"/>
      <c r="I975" s="21"/>
      <c r="J975" s="22"/>
    </row>
    <row r="976" spans="1:10" ht="13.2" x14ac:dyDescent="0.25">
      <c r="A976" s="17"/>
      <c r="B976" s="17"/>
      <c r="D976" s="18"/>
      <c r="E976" s="18"/>
      <c r="F976" s="18"/>
      <c r="G976" s="18"/>
      <c r="H976" s="58"/>
      <c r="I976" s="21"/>
      <c r="J976" s="22"/>
    </row>
    <row r="977" spans="1:10" ht="13.2" x14ac:dyDescent="0.25">
      <c r="A977" s="17"/>
      <c r="B977" s="17"/>
      <c r="D977" s="18"/>
      <c r="E977" s="18"/>
      <c r="F977" s="18"/>
      <c r="G977" s="18"/>
      <c r="H977" s="58"/>
      <c r="I977" s="21"/>
      <c r="J977" s="22"/>
    </row>
    <row r="978" spans="1:10" ht="13.2" x14ac:dyDescent="0.25">
      <c r="A978" s="17"/>
      <c r="B978" s="17"/>
      <c r="D978" s="18"/>
      <c r="E978" s="18"/>
      <c r="F978" s="18"/>
      <c r="G978" s="18"/>
      <c r="H978" s="58"/>
      <c r="I978" s="21"/>
      <c r="J978" s="22"/>
    </row>
    <row r="979" spans="1:10" ht="13.2" x14ac:dyDescent="0.25">
      <c r="A979" s="17"/>
      <c r="B979" s="17"/>
      <c r="D979" s="18"/>
      <c r="E979" s="18"/>
      <c r="F979" s="18"/>
      <c r="G979" s="18"/>
      <c r="H979" s="58"/>
      <c r="I979" s="21"/>
      <c r="J979" s="22"/>
    </row>
    <row r="980" spans="1:10" ht="13.2" x14ac:dyDescent="0.25">
      <c r="A980" s="17"/>
      <c r="B980" s="17"/>
      <c r="D980" s="18"/>
      <c r="E980" s="18"/>
      <c r="F980" s="18"/>
      <c r="G980" s="18"/>
      <c r="H980" s="58"/>
      <c r="I980" s="21"/>
      <c r="J980" s="22"/>
    </row>
    <row r="981" spans="1:10" ht="13.2" x14ac:dyDescent="0.25">
      <c r="A981" s="17"/>
      <c r="B981" s="17"/>
      <c r="D981" s="18"/>
      <c r="E981" s="18"/>
      <c r="F981" s="18"/>
      <c r="G981" s="18"/>
      <c r="H981" s="58"/>
      <c r="I981" s="21"/>
      <c r="J981" s="22"/>
    </row>
    <row r="982" spans="1:10" ht="13.2" x14ac:dyDescent="0.25">
      <c r="A982" s="17"/>
      <c r="B982" s="17"/>
      <c r="D982" s="18"/>
      <c r="E982" s="18"/>
      <c r="F982" s="18"/>
      <c r="G982" s="18"/>
      <c r="H982" s="58"/>
      <c r="I982" s="21"/>
      <c r="J982" s="22"/>
    </row>
    <row r="983" spans="1:10" ht="13.2" x14ac:dyDescent="0.25">
      <c r="A983" s="17"/>
      <c r="B983" s="17"/>
      <c r="D983" s="18"/>
      <c r="E983" s="18"/>
      <c r="F983" s="18"/>
      <c r="G983" s="18"/>
      <c r="H983" s="58"/>
      <c r="I983" s="21"/>
      <c r="J983" s="22"/>
    </row>
    <row r="984" spans="1:10" ht="13.2" x14ac:dyDescent="0.25">
      <c r="A984" s="17"/>
      <c r="B984" s="17"/>
      <c r="D984" s="18"/>
      <c r="E984" s="18"/>
      <c r="F984" s="18"/>
      <c r="G984" s="18"/>
      <c r="H984" s="58"/>
      <c r="I984" s="21"/>
      <c r="J984" s="22"/>
    </row>
    <row r="985" spans="1:10" ht="13.2" x14ac:dyDescent="0.25">
      <c r="A985" s="17"/>
      <c r="B985" s="17"/>
      <c r="D985" s="18"/>
      <c r="E985" s="18"/>
      <c r="F985" s="18"/>
      <c r="G985" s="18"/>
      <c r="H985" s="58"/>
      <c r="I985" s="21"/>
      <c r="J985" s="22"/>
    </row>
    <row r="986" spans="1:10" ht="13.2" x14ac:dyDescent="0.25">
      <c r="A986" s="17"/>
      <c r="B986" s="17"/>
      <c r="D986" s="18"/>
      <c r="E986" s="18"/>
      <c r="F986" s="18"/>
      <c r="G986" s="18"/>
      <c r="H986" s="58"/>
      <c r="I986" s="21"/>
      <c r="J986" s="22"/>
    </row>
    <row r="987" spans="1:10" ht="13.2" x14ac:dyDescent="0.25">
      <c r="A987" s="17"/>
      <c r="B987" s="17"/>
      <c r="D987" s="18"/>
      <c r="E987" s="18"/>
      <c r="F987" s="18"/>
      <c r="G987" s="18"/>
      <c r="H987" s="58"/>
      <c r="I987" s="21"/>
      <c r="J987" s="22"/>
    </row>
    <row r="988" spans="1:10" ht="13.2" x14ac:dyDescent="0.25">
      <c r="A988" s="17"/>
      <c r="B988" s="17"/>
      <c r="D988" s="18"/>
      <c r="E988" s="18"/>
      <c r="F988" s="18"/>
      <c r="G988" s="18"/>
      <c r="H988" s="58"/>
      <c r="I988" s="21"/>
      <c r="J988" s="22"/>
    </row>
    <row r="989" spans="1:10" ht="13.2" x14ac:dyDescent="0.25">
      <c r="A989" s="17"/>
      <c r="B989" s="17"/>
      <c r="D989" s="18"/>
      <c r="E989" s="18"/>
      <c r="F989" s="18"/>
      <c r="G989" s="18"/>
      <c r="H989" s="58"/>
      <c r="I989" s="21"/>
      <c r="J989" s="22"/>
    </row>
    <row r="990" spans="1:10" ht="13.2" x14ac:dyDescent="0.25">
      <c r="A990" s="17"/>
      <c r="B990" s="17"/>
      <c r="D990" s="18"/>
      <c r="E990" s="18"/>
      <c r="F990" s="18"/>
      <c r="G990" s="18"/>
      <c r="H990" s="58"/>
      <c r="I990" s="21"/>
      <c r="J990" s="22"/>
    </row>
    <row r="991" spans="1:10" ht="13.2" x14ac:dyDescent="0.25">
      <c r="A991" s="17"/>
      <c r="B991" s="17"/>
      <c r="D991" s="18"/>
      <c r="E991" s="18"/>
      <c r="F991" s="18"/>
      <c r="G991" s="18"/>
      <c r="H991" s="58"/>
      <c r="I991" s="21"/>
      <c r="J991" s="22"/>
    </row>
    <row r="992" spans="1:10" ht="13.2" x14ac:dyDescent="0.25">
      <c r="A992" s="17"/>
      <c r="B992" s="17"/>
      <c r="D992" s="18"/>
      <c r="E992" s="18"/>
      <c r="F992" s="18"/>
      <c r="G992" s="18"/>
      <c r="H992" s="58"/>
      <c r="I992" s="21"/>
      <c r="J992" s="22"/>
    </row>
    <row r="993" spans="1:10" ht="13.2" x14ac:dyDescent="0.25">
      <c r="A993" s="17"/>
      <c r="B993" s="17"/>
      <c r="D993" s="18"/>
      <c r="E993" s="18"/>
      <c r="F993" s="18"/>
      <c r="G993" s="18"/>
      <c r="H993" s="58"/>
      <c r="I993" s="21"/>
      <c r="J993" s="22"/>
    </row>
    <row r="994" spans="1:10" ht="13.2" x14ac:dyDescent="0.25">
      <c r="A994" s="17"/>
      <c r="B994" s="17"/>
      <c r="D994" s="18"/>
      <c r="E994" s="18"/>
      <c r="F994" s="18"/>
      <c r="G994" s="18"/>
      <c r="H994" s="58"/>
      <c r="I994" s="21"/>
      <c r="J994" s="22"/>
    </row>
    <row r="995" spans="1:10" ht="13.2" x14ac:dyDescent="0.25">
      <c r="A995" s="17"/>
      <c r="B995" s="17"/>
      <c r="D995" s="18"/>
      <c r="E995" s="18"/>
      <c r="F995" s="18"/>
      <c r="G995" s="18"/>
      <c r="H995" s="58"/>
      <c r="I995" s="21"/>
      <c r="J995" s="22"/>
    </row>
    <row r="996" spans="1:10" ht="13.2" x14ac:dyDescent="0.25">
      <c r="A996" s="17"/>
      <c r="B996" s="17"/>
      <c r="D996" s="18"/>
      <c r="E996" s="18"/>
      <c r="F996" s="18"/>
      <c r="G996" s="18"/>
      <c r="H996" s="58"/>
      <c r="I996" s="21"/>
      <c r="J996" s="22"/>
    </row>
    <row r="997" spans="1:10" ht="13.2" x14ac:dyDescent="0.25">
      <c r="A997" s="17"/>
      <c r="B997" s="17"/>
      <c r="D997" s="18"/>
      <c r="E997" s="18"/>
      <c r="F997" s="18"/>
      <c r="G997" s="18"/>
      <c r="H997" s="58"/>
      <c r="I997" s="21"/>
      <c r="J997" s="22"/>
    </row>
    <row r="998" spans="1:10" ht="13.2" x14ac:dyDescent="0.25">
      <c r="A998" s="17"/>
      <c r="B998" s="17"/>
      <c r="D998" s="18"/>
      <c r="E998" s="18"/>
      <c r="F998" s="18"/>
      <c r="G998" s="18"/>
      <c r="H998" s="58"/>
      <c r="I998" s="21"/>
      <c r="J998" s="22"/>
    </row>
    <row r="999" spans="1:10" ht="13.2" x14ac:dyDescent="0.25">
      <c r="A999" s="17"/>
      <c r="B999" s="17"/>
      <c r="D999" s="18"/>
      <c r="E999" s="18"/>
      <c r="F999" s="18"/>
      <c r="G999" s="18"/>
      <c r="H999" s="58"/>
      <c r="I999" s="21"/>
      <c r="J999" s="22"/>
    </row>
    <row r="1000" spans="1:10" ht="13.2" x14ac:dyDescent="0.25">
      <c r="A1000" s="17"/>
      <c r="B1000" s="17"/>
      <c r="D1000" s="18"/>
      <c r="E1000" s="18"/>
      <c r="F1000" s="18"/>
      <c r="G1000" s="18"/>
      <c r="H1000" s="58"/>
      <c r="I1000" s="21"/>
      <c r="J1000" s="22"/>
    </row>
    <row r="1001" spans="1:10" ht="13.2" x14ac:dyDescent="0.25">
      <c r="A1001" s="17"/>
      <c r="B1001" s="17"/>
      <c r="D1001" s="18"/>
      <c r="E1001" s="18"/>
      <c r="F1001" s="18"/>
      <c r="G1001" s="18"/>
      <c r="H1001" s="58"/>
      <c r="I1001" s="21"/>
      <c r="J1001" s="22"/>
    </row>
    <row r="1002" spans="1:10" ht="13.2" x14ac:dyDescent="0.25">
      <c r="A1002" s="17"/>
      <c r="B1002" s="17"/>
      <c r="D1002" s="18"/>
      <c r="E1002" s="18"/>
      <c r="F1002" s="18"/>
      <c r="G1002" s="18"/>
      <c r="H1002" s="58"/>
      <c r="I1002" s="21"/>
      <c r="J1002" s="22"/>
    </row>
    <row r="1003" spans="1:10" ht="13.2" x14ac:dyDescent="0.25">
      <c r="A1003" s="17"/>
      <c r="B1003" s="17"/>
      <c r="D1003" s="18"/>
      <c r="E1003" s="18"/>
      <c r="F1003" s="18"/>
      <c r="G1003" s="18"/>
      <c r="H1003" s="58"/>
      <c r="I1003" s="21"/>
      <c r="J1003" s="22"/>
    </row>
    <row r="1004" spans="1:10" ht="13.2" x14ac:dyDescent="0.25">
      <c r="A1004" s="17"/>
      <c r="B1004" s="17"/>
      <c r="D1004" s="18"/>
      <c r="E1004" s="18"/>
      <c r="F1004" s="18"/>
      <c r="G1004" s="18"/>
      <c r="H1004" s="58"/>
      <c r="I1004" s="21"/>
      <c r="J1004" s="22"/>
    </row>
    <row r="1005" spans="1:10" ht="13.2" x14ac:dyDescent="0.25">
      <c r="A1005" s="17"/>
      <c r="B1005" s="17"/>
      <c r="D1005" s="18"/>
      <c r="E1005" s="18"/>
      <c r="F1005" s="18"/>
      <c r="G1005" s="18"/>
      <c r="H1005" s="58"/>
      <c r="I1005" s="21"/>
      <c r="J1005" s="22"/>
    </row>
    <row r="1006" spans="1:10" ht="13.2" x14ac:dyDescent="0.25">
      <c r="A1006" s="17"/>
      <c r="B1006" s="17"/>
      <c r="D1006" s="18"/>
      <c r="E1006" s="18"/>
      <c r="F1006" s="18"/>
      <c r="G1006" s="18"/>
      <c r="H1006" s="58"/>
      <c r="I1006" s="21"/>
      <c r="J1006" s="22"/>
    </row>
    <row r="1007" spans="1:10" ht="13.2" x14ac:dyDescent="0.25">
      <c r="A1007" s="17"/>
      <c r="B1007" s="17"/>
      <c r="D1007" s="18"/>
      <c r="E1007" s="18"/>
      <c r="F1007" s="18"/>
      <c r="G1007" s="18"/>
      <c r="H1007" s="58"/>
      <c r="I1007" s="21"/>
      <c r="J1007" s="22"/>
    </row>
    <row r="1008" spans="1:10" ht="13.2" x14ac:dyDescent="0.25">
      <c r="A1008" s="17"/>
      <c r="B1008" s="17"/>
      <c r="D1008" s="18"/>
      <c r="E1008" s="18"/>
      <c r="F1008" s="18"/>
      <c r="G1008" s="18"/>
      <c r="H1008" s="58"/>
      <c r="I1008" s="21"/>
      <c r="J1008" s="22"/>
    </row>
    <row r="1009" spans="1:10" ht="13.2" x14ac:dyDescent="0.25">
      <c r="A1009" s="17"/>
      <c r="B1009" s="17"/>
      <c r="D1009" s="18"/>
      <c r="E1009" s="18"/>
      <c r="F1009" s="18"/>
      <c r="G1009" s="18"/>
      <c r="H1009" s="58"/>
      <c r="I1009" s="21"/>
      <c r="J1009" s="22"/>
    </row>
    <row r="1010" spans="1:10" ht="13.2" x14ac:dyDescent="0.25">
      <c r="A1010" s="17"/>
      <c r="B1010" s="17"/>
      <c r="D1010" s="18"/>
      <c r="E1010" s="18"/>
      <c r="F1010" s="18"/>
      <c r="G1010" s="18"/>
      <c r="H1010" s="58"/>
      <c r="I1010" s="21"/>
      <c r="J1010" s="22"/>
    </row>
    <row r="1011" spans="1:10" ht="13.2" x14ac:dyDescent="0.25">
      <c r="A1011" s="17"/>
      <c r="B1011" s="17"/>
      <c r="D1011" s="18"/>
      <c r="E1011" s="18"/>
      <c r="F1011" s="18"/>
      <c r="G1011" s="18"/>
      <c r="H1011" s="58"/>
      <c r="I1011" s="21"/>
      <c r="J1011" s="22"/>
    </row>
    <row r="1012" spans="1:10" ht="13.2" x14ac:dyDescent="0.25">
      <c r="A1012" s="17"/>
      <c r="B1012" s="17"/>
      <c r="D1012" s="18"/>
      <c r="E1012" s="18"/>
      <c r="F1012" s="18"/>
      <c r="G1012" s="18"/>
      <c r="H1012" s="58"/>
      <c r="I1012" s="21"/>
      <c r="J1012" s="22"/>
    </row>
    <row r="1013" spans="1:10" ht="13.2" x14ac:dyDescent="0.25">
      <c r="A1013" s="17"/>
      <c r="B1013" s="17"/>
      <c r="D1013" s="18"/>
      <c r="E1013" s="18"/>
      <c r="F1013" s="18"/>
      <c r="G1013" s="18"/>
      <c r="H1013" s="58"/>
      <c r="I1013" s="21"/>
      <c r="J1013" s="22"/>
    </row>
    <row r="1014" spans="1:10" ht="13.2" x14ac:dyDescent="0.25">
      <c r="A1014" s="17"/>
      <c r="B1014" s="17"/>
      <c r="D1014" s="18"/>
      <c r="E1014" s="18"/>
      <c r="F1014" s="18"/>
      <c r="G1014" s="18"/>
      <c r="H1014" s="58"/>
      <c r="I1014" s="21"/>
      <c r="J1014" s="22"/>
    </row>
    <row r="1015" spans="1:10" ht="13.2" x14ac:dyDescent="0.25">
      <c r="A1015" s="17"/>
      <c r="B1015" s="17"/>
      <c r="D1015" s="18"/>
      <c r="E1015" s="18"/>
      <c r="F1015" s="18"/>
      <c r="G1015" s="18"/>
      <c r="H1015" s="58"/>
      <c r="I1015" s="21"/>
      <c r="J1015" s="22"/>
    </row>
    <row r="1016" spans="1:10" ht="13.2" x14ac:dyDescent="0.25">
      <c r="A1016" s="17"/>
      <c r="B1016" s="17"/>
      <c r="D1016" s="18"/>
      <c r="E1016" s="18"/>
      <c r="F1016" s="18"/>
      <c r="G1016" s="18"/>
      <c r="H1016" s="58"/>
      <c r="I1016" s="21"/>
      <c r="J1016" s="22"/>
    </row>
    <row r="1017" spans="1:10" ht="13.2" x14ac:dyDescent="0.25">
      <c r="A1017" s="17"/>
      <c r="B1017" s="17"/>
      <c r="D1017" s="18"/>
      <c r="E1017" s="18"/>
      <c r="F1017" s="18"/>
      <c r="G1017" s="18"/>
      <c r="H1017" s="58"/>
      <c r="I1017" s="21"/>
      <c r="J1017" s="22"/>
    </row>
    <row r="1018" spans="1:10" ht="13.2" x14ac:dyDescent="0.25">
      <c r="A1018" s="17"/>
      <c r="B1018" s="17"/>
      <c r="D1018" s="18"/>
      <c r="E1018" s="18"/>
      <c r="F1018" s="18"/>
      <c r="G1018" s="18"/>
      <c r="H1018" s="58"/>
      <c r="I1018" s="21"/>
      <c r="J1018" s="22"/>
    </row>
    <row r="1019" spans="1:10" ht="13.2" x14ac:dyDescent="0.25">
      <c r="A1019" s="17"/>
      <c r="B1019" s="17"/>
      <c r="D1019" s="18"/>
      <c r="E1019" s="18"/>
      <c r="F1019" s="18"/>
      <c r="G1019" s="18"/>
      <c r="H1019" s="58"/>
      <c r="I1019" s="21"/>
      <c r="J1019" s="22"/>
    </row>
    <row r="1020" spans="1:10" ht="13.2" x14ac:dyDescent="0.25">
      <c r="A1020" s="17"/>
      <c r="B1020" s="17"/>
      <c r="D1020" s="18"/>
      <c r="E1020" s="18"/>
      <c r="F1020" s="18"/>
      <c r="G1020" s="18"/>
      <c r="H1020" s="58"/>
      <c r="I1020" s="21"/>
      <c r="J1020" s="22"/>
    </row>
    <row r="1021" spans="1:10" ht="13.2" x14ac:dyDescent="0.25">
      <c r="A1021" s="17"/>
      <c r="B1021" s="17"/>
      <c r="D1021" s="18"/>
      <c r="E1021" s="18"/>
      <c r="F1021" s="18"/>
      <c r="G1021" s="18"/>
      <c r="H1021" s="58"/>
      <c r="I1021" s="21"/>
      <c r="J1021" s="22"/>
    </row>
    <row r="1022" spans="1:10" ht="13.2" x14ac:dyDescent="0.25">
      <c r="A1022" s="17"/>
      <c r="B1022" s="17"/>
      <c r="D1022" s="18"/>
      <c r="E1022" s="18"/>
      <c r="F1022" s="18"/>
      <c r="G1022" s="18"/>
      <c r="H1022" s="58"/>
      <c r="I1022" s="21"/>
      <c r="J1022" s="22"/>
    </row>
    <row r="1023" spans="1:10" ht="13.2" x14ac:dyDescent="0.25">
      <c r="A1023" s="17"/>
      <c r="B1023" s="17"/>
      <c r="D1023" s="18"/>
      <c r="E1023" s="18"/>
      <c r="F1023" s="18"/>
      <c r="G1023" s="18"/>
      <c r="H1023" s="58"/>
      <c r="I1023" s="21"/>
      <c r="J1023" s="22"/>
    </row>
    <row r="1024" spans="1:10" ht="13.2" x14ac:dyDescent="0.25">
      <c r="A1024" s="17"/>
      <c r="B1024" s="17"/>
      <c r="D1024" s="18"/>
      <c r="E1024" s="18"/>
      <c r="F1024" s="18"/>
      <c r="G1024" s="18"/>
      <c r="H1024" s="58"/>
      <c r="I1024" s="21"/>
      <c r="J1024" s="22"/>
    </row>
  </sheetData>
  <mergeCells count="25">
    <mergeCell ref="B180:G180"/>
    <mergeCell ref="B188:G188"/>
    <mergeCell ref="B196:G196"/>
    <mergeCell ref="B116:G116"/>
    <mergeCell ref="B124:G124"/>
    <mergeCell ref="B132:G132"/>
    <mergeCell ref="B140:G140"/>
    <mergeCell ref="B148:H148"/>
    <mergeCell ref="B156:G156"/>
    <mergeCell ref="B164:G164"/>
    <mergeCell ref="B84:G84"/>
    <mergeCell ref="B92:G92"/>
    <mergeCell ref="B100:G100"/>
    <mergeCell ref="B108:G108"/>
    <mergeCell ref="B172:G172"/>
    <mergeCell ref="B44:G44"/>
    <mergeCell ref="B52:G52"/>
    <mergeCell ref="B60:G60"/>
    <mergeCell ref="B68:G68"/>
    <mergeCell ref="B76:G76"/>
    <mergeCell ref="B4:G4"/>
    <mergeCell ref="B12:G12"/>
    <mergeCell ref="B20:G20"/>
    <mergeCell ref="B28:G28"/>
    <mergeCell ref="B36:G36"/>
  </mergeCells>
  <conditionalFormatting sqref="L13">
    <cfRule type="notContainsBlanks" dxfId="2" priority="1">
      <formula>LEN(TRIM(L13))&gt;0</formula>
    </cfRule>
  </conditionalFormatting>
  <dataValidations count="2">
    <dataValidation type="custom" allowBlank="1" showDropDown="1" showInputMessage="1" showErrorMessage="1" prompt="Csak egy 1,23 formátumú szám, vagy a -, x, X jelek lehetnek ebben a cellában!" sqref="E5:G9 E13:G17 E21:G25 E29:G33 E37:G41 E45:G49 E53:G57 E61:G65 E69:G73 E77:G81 E85:G89 E93:G97 E109:G113 E117:G121 E125:G129 E133:G137 E141:G145 E149:G153 E157:G161 E165:G169 E173:G177 E181:G185 E189:G193 E197:G201" xr:uid="{00000000-0002-0000-0500-000000000000}">
      <formula1>REGEXMATCH(E5,"^\d{1,1},\d{2}$|^x$|^X$|^-$")</formula1>
    </dataValidation>
    <dataValidation type="custom" allowBlank="1" showDropDown="1" showInputMessage="1" showErrorMessage="1" prompt="Ebbe a cellába csak 2011 és 2014 közötti értéket kell megadni!" sqref="D5:D9 D13:D17 D21:D25 D29:D33 D37:D41 D45:D49 D53:D57 D61:D65 D69:D73 D77:D81 D85:D89 D93:D97 D101:D105 D109:D113 D117:D121 D125:D129 D133:D137 D141:D145 D149:D153 D157:D161 D165:D169 D173:D177 D181:D185 D189:D193 D197:D201" xr:uid="{00000000-0002-0000-0500-000001000000}">
      <formula1>OR(D5 = "2011", D5="2012",  D5="2013", D5="2014")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1C232"/>
    <outlinePr summaryBelow="0" summaryRight="0"/>
  </sheetPr>
  <dimension ref="A1:AA1024"/>
  <sheetViews>
    <sheetView workbookViewId="0">
      <pane ySplit="3" topLeftCell="A4" activePane="bottomLeft" state="frozen"/>
      <selection pane="bottomLeft" activeCell="B5" sqref="B5"/>
    </sheetView>
  </sheetViews>
  <sheetFormatPr defaultColWidth="12.6640625" defaultRowHeight="15.75" customHeight="1" x14ac:dyDescent="0.25"/>
  <cols>
    <col min="1" max="1" width="4.21875" customWidth="1"/>
    <col min="2" max="2" width="3.21875" customWidth="1"/>
    <col min="3" max="3" width="22.44140625" customWidth="1"/>
    <col min="4" max="4" width="6.44140625" customWidth="1"/>
    <col min="5" max="7" width="7.109375" customWidth="1"/>
    <col min="8" max="8" width="6.88671875" customWidth="1"/>
    <col min="10" max="10" width="8.21875" customWidth="1"/>
  </cols>
  <sheetData>
    <row r="1" spans="1:27" ht="25.8" x14ac:dyDescent="0.8">
      <c r="A1" s="65" t="s">
        <v>599</v>
      </c>
      <c r="B1" s="66"/>
      <c r="C1" s="67"/>
      <c r="D1" s="68"/>
      <c r="E1" s="69"/>
      <c r="F1" s="69"/>
      <c r="G1" s="69"/>
      <c r="H1" s="73"/>
      <c r="I1" s="72"/>
      <c r="J1" s="73"/>
    </row>
    <row r="2" spans="1:27" ht="16.2" x14ac:dyDescent="0.5">
      <c r="A2" s="9" t="s">
        <v>1</v>
      </c>
      <c r="B2" s="9" t="s">
        <v>2</v>
      </c>
      <c r="C2" s="11"/>
      <c r="D2" s="12" t="s">
        <v>3</v>
      </c>
      <c r="E2" s="12" t="s">
        <v>74</v>
      </c>
      <c r="F2" s="12" t="s">
        <v>75</v>
      </c>
      <c r="G2" s="12" t="s">
        <v>76</v>
      </c>
      <c r="H2" s="57" t="s">
        <v>77</v>
      </c>
      <c r="I2" s="14" t="s">
        <v>6</v>
      </c>
      <c r="J2" s="15" t="s">
        <v>7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13.2" x14ac:dyDescent="0.25">
      <c r="A3" s="17"/>
      <c r="B3" s="17"/>
      <c r="D3" s="18"/>
      <c r="E3" s="18"/>
      <c r="F3" s="18"/>
      <c r="G3" s="18"/>
      <c r="H3" s="58"/>
      <c r="I3" s="21"/>
      <c r="J3" s="22"/>
    </row>
    <row r="4" spans="1:27" ht="15.6" x14ac:dyDescent="0.25">
      <c r="A4" s="23">
        <v>1</v>
      </c>
      <c r="B4" s="97" t="s">
        <v>180</v>
      </c>
      <c r="C4" s="98"/>
      <c r="D4" s="98"/>
      <c r="E4" s="98"/>
      <c r="F4" s="98"/>
      <c r="G4" s="99"/>
      <c r="H4" s="59"/>
      <c r="I4" s="25">
        <f ca="1">IF(COUNTIFS(H5:H9,"&gt;0") &gt; 3, FLOOR((SUM(H5:H9)-MIN(H5,H6,H7,H8,H9))/4,0.0001), )</f>
        <v>7.4775</v>
      </c>
      <c r="J4" s="26">
        <f ca="1">IF(I4=0,"",RANK(I4,$I$4:$I$224,))</f>
        <v>1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8.75" customHeight="1" x14ac:dyDescent="0.25">
      <c r="A5" s="17"/>
      <c r="B5" s="28">
        <v>1</v>
      </c>
      <c r="C5" s="29" t="s">
        <v>600</v>
      </c>
      <c r="D5" s="30" t="s">
        <v>10</v>
      </c>
      <c r="E5" s="60" t="s">
        <v>601</v>
      </c>
      <c r="F5" s="60" t="s">
        <v>350</v>
      </c>
      <c r="G5" s="60" t="s">
        <v>602</v>
      </c>
      <c r="H5" s="61">
        <f ca="1">IFERROR(__xludf.DUMMYFUNCTION("MAX(IF(REGEXMATCH(E5,""^\d{1,2},\d{2}$""),VALUE(E5),0),IF(REGEXMATCH(F5,""^\d{1,2},\d{2}$""),VALUE(F5),0),IF(REGEXMATCH(G5,""^\d{1,2},\d{2}$""),VALUE(G5),0))"),9.06)</f>
        <v>9.06</v>
      </c>
      <c r="I5" s="21"/>
      <c r="J5" s="22"/>
    </row>
    <row r="6" spans="1:27" ht="18.75" customHeight="1" x14ac:dyDescent="0.25">
      <c r="A6" s="17"/>
      <c r="B6" s="28">
        <v>2</v>
      </c>
      <c r="C6" s="29" t="s">
        <v>603</v>
      </c>
      <c r="D6" s="30" t="s">
        <v>41</v>
      </c>
      <c r="E6" s="60" t="s">
        <v>604</v>
      </c>
      <c r="F6" s="60" t="s">
        <v>605</v>
      </c>
      <c r="G6" s="60" t="s">
        <v>606</v>
      </c>
      <c r="H6" s="61">
        <f ca="1">IFERROR(__xludf.DUMMYFUNCTION("MAX(IF(REGEXMATCH(E6,""^\d{1,2},\d{2}$""),VALUE(E6),0),IF(REGEXMATCH(F6,""^\d{1,2},\d{2}$""),VALUE(F6),0),IF(REGEXMATCH(G6,""^\d{1,2},\d{2}$""),VALUE(G6),0))"),6.52)</f>
        <v>6.52</v>
      </c>
      <c r="I6" s="21"/>
      <c r="J6" s="22"/>
    </row>
    <row r="7" spans="1:27" ht="18.75" customHeight="1" x14ac:dyDescent="0.25">
      <c r="A7" s="17"/>
      <c r="B7" s="28">
        <v>3</v>
      </c>
      <c r="C7" s="29" t="s">
        <v>607</v>
      </c>
      <c r="D7" s="30" t="s">
        <v>41</v>
      </c>
      <c r="E7" s="60" t="s">
        <v>271</v>
      </c>
      <c r="F7" s="60" t="s">
        <v>608</v>
      </c>
      <c r="G7" s="60" t="s">
        <v>609</v>
      </c>
      <c r="H7" s="61">
        <f ca="1">IFERROR(__xludf.DUMMYFUNCTION("MAX(IF(REGEXMATCH(E7,""^\d{1,2},\d{2}$""),VALUE(E7),0),IF(REGEXMATCH(F7,""^\d{1,2},\d{2}$""),VALUE(F7),0),IF(REGEXMATCH(G7,""^\d{1,2},\d{2}$""),VALUE(G7),0))"),7.78)</f>
        <v>7.78</v>
      </c>
      <c r="I7" s="21"/>
      <c r="J7" s="22"/>
    </row>
    <row r="8" spans="1:27" ht="18.75" customHeight="1" x14ac:dyDescent="0.25">
      <c r="A8" s="17"/>
      <c r="B8" s="28">
        <v>4</v>
      </c>
      <c r="C8" s="29" t="s">
        <v>610</v>
      </c>
      <c r="D8" s="30" t="s">
        <v>10</v>
      </c>
      <c r="E8" s="60" t="s">
        <v>611</v>
      </c>
      <c r="F8" s="60" t="s">
        <v>612</v>
      </c>
      <c r="G8" s="60" t="s">
        <v>613</v>
      </c>
      <c r="H8" s="61">
        <f ca="1">IFERROR(__xludf.DUMMYFUNCTION("MAX(IF(REGEXMATCH(E8,""^\d{1,2},\d{2}$""),VALUE(E8),0),IF(REGEXMATCH(F8,""^\d{1,2},\d{2}$""),VALUE(F8),0),IF(REGEXMATCH(G8,""^\d{1,2},\d{2}$""),VALUE(G8),0))"),6.55)</f>
        <v>6.55</v>
      </c>
      <c r="I8" s="21"/>
      <c r="J8" s="22"/>
    </row>
    <row r="9" spans="1:27" ht="18.75" customHeight="1" x14ac:dyDescent="0.25">
      <c r="A9" s="17"/>
      <c r="B9" s="28">
        <v>5</v>
      </c>
      <c r="C9" s="29"/>
      <c r="D9" s="30"/>
      <c r="E9" s="60"/>
      <c r="F9" s="60"/>
      <c r="G9" s="60"/>
      <c r="H9" s="61">
        <f ca="1">IFERROR(__xludf.DUMMYFUNCTION("MAX(IF(REGEXMATCH(E9,""^\d{1,2},\d{2}$""),VALUE(E9),0),IF(REGEXMATCH(F9,""^\d{1,2},\d{2}$""),VALUE(F9),0),IF(REGEXMATCH(G9,""^\d{1,2},\d{2}$""),VALUE(G9),0))"),0)</f>
        <v>0</v>
      </c>
      <c r="I9" s="21"/>
      <c r="J9" s="22"/>
    </row>
    <row r="10" spans="1:27" ht="13.2" x14ac:dyDescent="0.25">
      <c r="A10" s="17"/>
      <c r="B10" s="62" t="s">
        <v>18</v>
      </c>
      <c r="C10" s="36"/>
      <c r="D10" s="37" t="s">
        <v>190</v>
      </c>
      <c r="E10" s="38"/>
      <c r="F10" s="38"/>
      <c r="G10" s="38"/>
      <c r="H10" s="63"/>
      <c r="I10" s="21"/>
      <c r="J10" s="22"/>
    </row>
    <row r="11" spans="1:27" ht="13.2" x14ac:dyDescent="0.25">
      <c r="A11" s="17"/>
      <c r="B11" s="17"/>
      <c r="D11" s="18"/>
      <c r="E11" s="18"/>
      <c r="F11" s="18"/>
      <c r="G11" s="18"/>
      <c r="H11" s="58"/>
      <c r="I11" s="21"/>
      <c r="J11" s="22"/>
    </row>
    <row r="12" spans="1:27" ht="15.6" x14ac:dyDescent="0.25">
      <c r="A12" s="23">
        <v>2</v>
      </c>
      <c r="B12" s="97" t="s">
        <v>46</v>
      </c>
      <c r="C12" s="98"/>
      <c r="D12" s="98"/>
      <c r="E12" s="98"/>
      <c r="F12" s="98"/>
      <c r="G12" s="98"/>
      <c r="H12" s="59"/>
      <c r="I12" s="25">
        <f ca="1">IF(COUNTIFS(H13:H17,"&gt;0") &gt; 3, FLOOR((SUM(H13:H17)-MIN(H13,H14,H15,H16,H17))/4,0.0001), )</f>
        <v>7.3500000000000005</v>
      </c>
      <c r="J12" s="26">
        <f ca="1">IF(I12=0,"",RANK(I12,$I$4:$I$224,))</f>
        <v>2</v>
      </c>
    </row>
    <row r="13" spans="1:27" ht="18.75" customHeight="1" x14ac:dyDescent="0.25">
      <c r="A13" s="17"/>
      <c r="B13" s="28">
        <v>1</v>
      </c>
      <c r="C13" s="29" t="s">
        <v>614</v>
      </c>
      <c r="D13" s="30" t="s">
        <v>10</v>
      </c>
      <c r="E13" s="60" t="s">
        <v>357</v>
      </c>
      <c r="F13" s="60" t="s">
        <v>609</v>
      </c>
      <c r="G13" s="60" t="s">
        <v>615</v>
      </c>
      <c r="H13" s="61">
        <f ca="1">IFERROR(__xludf.DUMMYFUNCTION("MAX(IF(REGEXMATCH(E13,""^\d{1,2},\d{2}$""),VALUE(E13),0),IF(REGEXMATCH(F13,""^\d{1,2},\d{2}$""),VALUE(F13),0),IF(REGEXMATCH(G13,""^\d{1,2},\d{2}$""),VALUE(G13),0))"),7.85)</f>
        <v>7.85</v>
      </c>
      <c r="I13" s="21"/>
      <c r="J13" s="22"/>
    </row>
    <row r="14" spans="1:27" ht="18.75" customHeight="1" x14ac:dyDescent="0.25">
      <c r="A14" s="17"/>
      <c r="B14" s="28">
        <v>2</v>
      </c>
      <c r="C14" s="29" t="s">
        <v>616</v>
      </c>
      <c r="D14" s="30" t="s">
        <v>15</v>
      </c>
      <c r="E14" s="60" t="s">
        <v>268</v>
      </c>
      <c r="F14" s="60" t="s">
        <v>353</v>
      </c>
      <c r="G14" s="60" t="s">
        <v>617</v>
      </c>
      <c r="H14" s="61">
        <f ca="1">IFERROR(__xludf.DUMMYFUNCTION("MAX(IF(REGEXMATCH(E14,""^\d{1,2},\d{2}$""),VALUE(E14),0),IF(REGEXMATCH(F14,""^\d{1,2},\d{2}$""),VALUE(F14),0),IF(REGEXMATCH(G14,""^\d{1,2},\d{2}$""),VALUE(G14),0))"),7.47)</f>
        <v>7.47</v>
      </c>
      <c r="I14" s="21"/>
      <c r="J14" s="22"/>
    </row>
    <row r="15" spans="1:27" ht="18.75" customHeight="1" x14ac:dyDescent="0.25">
      <c r="A15" s="17"/>
      <c r="B15" s="28">
        <v>3</v>
      </c>
      <c r="C15" s="29" t="s">
        <v>618</v>
      </c>
      <c r="D15" s="30" t="s">
        <v>41</v>
      </c>
      <c r="E15" s="60" t="s">
        <v>619</v>
      </c>
      <c r="F15" s="60" t="s">
        <v>620</v>
      </c>
      <c r="G15" s="60" t="s">
        <v>621</v>
      </c>
      <c r="H15" s="61">
        <f ca="1">IFERROR(__xludf.DUMMYFUNCTION("MAX(IF(REGEXMATCH(E15,""^\d{1,2},\d{2}$""),VALUE(E15),0),IF(REGEXMATCH(F15,""^\d{1,2},\d{2}$""),VALUE(F15),0),IF(REGEXMATCH(G15,""^\d{1,2},\d{2}$""),VALUE(G15),0))"),6.04)</f>
        <v>6.04</v>
      </c>
      <c r="I15" s="21"/>
      <c r="J15" s="22"/>
    </row>
    <row r="16" spans="1:27" ht="18.75" customHeight="1" x14ac:dyDescent="0.25">
      <c r="A16" s="17"/>
      <c r="B16" s="28">
        <v>4</v>
      </c>
      <c r="C16" s="29" t="s">
        <v>622</v>
      </c>
      <c r="D16" s="30" t="s">
        <v>15</v>
      </c>
      <c r="E16" s="60" t="s">
        <v>623</v>
      </c>
      <c r="F16" s="60" t="s">
        <v>241</v>
      </c>
      <c r="G16" s="60" t="s">
        <v>366</v>
      </c>
      <c r="H16" s="61">
        <f ca="1">IFERROR(__xludf.DUMMYFUNCTION("MAX(IF(REGEXMATCH(E16,""^\d{1,2},\d{2}$""),VALUE(E16),0),IF(REGEXMATCH(F16,""^\d{1,2},\d{2}$""),VALUE(F16),0),IF(REGEXMATCH(G16,""^\d{1,2},\d{2}$""),VALUE(G16),0))"),7.4)</f>
        <v>7.4</v>
      </c>
      <c r="I16" s="21"/>
      <c r="J16" s="22"/>
    </row>
    <row r="17" spans="1:10" ht="18.75" customHeight="1" x14ac:dyDescent="0.25">
      <c r="A17" s="17"/>
      <c r="B17" s="28">
        <v>5</v>
      </c>
      <c r="C17" s="29" t="s">
        <v>506</v>
      </c>
      <c r="D17" s="30" t="s">
        <v>10</v>
      </c>
      <c r="E17" s="60" t="s">
        <v>624</v>
      </c>
      <c r="F17" s="60" t="s">
        <v>625</v>
      </c>
      <c r="G17" s="60" t="s">
        <v>626</v>
      </c>
      <c r="H17" s="61">
        <f ca="1">IFERROR(__xludf.DUMMYFUNCTION("MAX(IF(REGEXMATCH(E17,""^\d{1,2},\d{2}$""),VALUE(E17),0),IF(REGEXMATCH(F17,""^\d{1,2},\d{2}$""),VALUE(F17),0),IF(REGEXMATCH(G17,""^\d{1,2},\d{2}$""),VALUE(G17),0))"),6.68)</f>
        <v>6.68</v>
      </c>
      <c r="I17" s="21"/>
      <c r="J17" s="22"/>
    </row>
    <row r="18" spans="1:10" ht="13.2" x14ac:dyDescent="0.25">
      <c r="A18" s="17"/>
      <c r="B18" s="62" t="s">
        <v>18</v>
      </c>
      <c r="C18" s="36"/>
      <c r="D18" s="44" t="s">
        <v>53</v>
      </c>
      <c r="E18" s="38"/>
      <c r="F18" s="38"/>
      <c r="G18" s="38"/>
      <c r="H18" s="63"/>
      <c r="I18" s="21"/>
      <c r="J18" s="22"/>
    </row>
    <row r="19" spans="1:10" ht="13.2" x14ac:dyDescent="0.25">
      <c r="A19" s="17"/>
      <c r="B19" s="17"/>
      <c r="D19" s="18"/>
      <c r="E19" s="18"/>
      <c r="F19" s="18"/>
      <c r="G19" s="18"/>
      <c r="H19" s="58"/>
      <c r="I19" s="21"/>
      <c r="J19" s="22"/>
    </row>
    <row r="20" spans="1:10" ht="15.6" x14ac:dyDescent="0.25">
      <c r="A20" s="23">
        <v>3</v>
      </c>
      <c r="B20" s="97" t="s">
        <v>8</v>
      </c>
      <c r="C20" s="98"/>
      <c r="D20" s="98"/>
      <c r="E20" s="98"/>
      <c r="F20" s="98"/>
      <c r="G20" s="98"/>
      <c r="H20" s="59"/>
      <c r="I20" s="25">
        <f ca="1">IF(COUNTIFS(H21:H25,"&gt;0") &gt; 3, FLOOR((SUM(H21:H25)-MIN(H21,H22,H23,H24,H25))/4,0.0001), )</f>
        <v>7.2475000000000005</v>
      </c>
      <c r="J20" s="26">
        <f ca="1">IF(I20=0,"",RANK(I20,$I$4:$I$224,))</f>
        <v>3</v>
      </c>
    </row>
    <row r="21" spans="1:10" ht="13.2" x14ac:dyDescent="0.25">
      <c r="A21" s="17"/>
      <c r="B21" s="28">
        <v>1</v>
      </c>
      <c r="C21" s="29" t="s">
        <v>627</v>
      </c>
      <c r="D21" s="30" t="s">
        <v>371</v>
      </c>
      <c r="E21" s="60" t="s">
        <v>628</v>
      </c>
      <c r="F21" s="60" t="s">
        <v>629</v>
      </c>
      <c r="G21" s="60" t="s">
        <v>84</v>
      </c>
      <c r="H21" s="61">
        <f ca="1">IFERROR(__xludf.DUMMYFUNCTION("MAX(IF(REGEXMATCH(E21,""^\d{1,2},\d{2}$""),VALUE(E21),0),IF(REGEXMATCH(F21,""^\d{1,2},\d{2}$""),VALUE(F21),0),IF(REGEXMATCH(G21,""^\d{1,2},\d{2}$""),VALUE(G21),0))"),6.87)</f>
        <v>6.87</v>
      </c>
      <c r="I21" s="21"/>
      <c r="J21" s="22"/>
    </row>
    <row r="22" spans="1:10" ht="13.2" x14ac:dyDescent="0.25">
      <c r="A22" s="17"/>
      <c r="B22" s="28">
        <v>2</v>
      </c>
      <c r="C22" s="29" t="s">
        <v>630</v>
      </c>
      <c r="D22" s="30" t="s">
        <v>41</v>
      </c>
      <c r="E22" s="60" t="s">
        <v>631</v>
      </c>
      <c r="F22" s="60" t="s">
        <v>632</v>
      </c>
      <c r="G22" s="60" t="s">
        <v>632</v>
      </c>
      <c r="H22" s="61">
        <f ca="1">IFERROR(__xludf.DUMMYFUNCTION("MAX(IF(REGEXMATCH(E22,""^\d{1,2},\d{2}$""),VALUE(E22),0),IF(REGEXMATCH(F22,""^\d{1,2},\d{2}$""),VALUE(F22),0),IF(REGEXMATCH(G22,""^\d{1,2},\d{2}$""),VALUE(G22),0))"),6.75)</f>
        <v>6.75</v>
      </c>
      <c r="I22" s="21"/>
      <c r="J22" s="22"/>
    </row>
    <row r="23" spans="1:10" ht="13.2" x14ac:dyDescent="0.25">
      <c r="A23" s="17"/>
      <c r="B23" s="28">
        <v>3</v>
      </c>
      <c r="C23" s="29" t="s">
        <v>633</v>
      </c>
      <c r="D23" s="30" t="s">
        <v>10</v>
      </c>
      <c r="E23" s="60" t="s">
        <v>634</v>
      </c>
      <c r="F23" s="60" t="s">
        <v>354</v>
      </c>
      <c r="G23" s="60" t="s">
        <v>295</v>
      </c>
      <c r="H23" s="61">
        <f ca="1">IFERROR(__xludf.DUMMYFUNCTION("MAX(IF(REGEXMATCH(E23,""^\d{1,2},\d{2}$""),VALUE(E23),0),IF(REGEXMATCH(F23,""^\d{1,2},\d{2}$""),VALUE(F23),0),IF(REGEXMATCH(G23,""^\d{1,2},\d{2}$""),VALUE(G23),0))"),7.65)</f>
        <v>7.65</v>
      </c>
      <c r="I23" s="21"/>
      <c r="J23" s="22"/>
    </row>
    <row r="24" spans="1:10" ht="13.2" x14ac:dyDescent="0.25">
      <c r="A24" s="17"/>
      <c r="B24" s="28">
        <v>4</v>
      </c>
      <c r="C24" s="29" t="s">
        <v>635</v>
      </c>
      <c r="D24" s="30" t="s">
        <v>10</v>
      </c>
      <c r="E24" s="60" t="s">
        <v>636</v>
      </c>
      <c r="F24" s="60" t="s">
        <v>637</v>
      </c>
      <c r="G24" s="60" t="s">
        <v>638</v>
      </c>
      <c r="H24" s="61">
        <f ca="1">IFERROR(__xludf.DUMMYFUNCTION("MAX(IF(REGEXMATCH(E24,""^\d{1,2},\d{2}$""),VALUE(E24),0),IF(REGEXMATCH(F24,""^\d{1,2},\d{2}$""),VALUE(F24),0),IF(REGEXMATCH(G24,""^\d{1,2},\d{2}$""),VALUE(G24),0))"),6.03)</f>
        <v>6.03</v>
      </c>
      <c r="I24" s="21"/>
      <c r="J24" s="22"/>
    </row>
    <row r="25" spans="1:10" ht="13.2" x14ac:dyDescent="0.25">
      <c r="A25" s="17"/>
      <c r="B25" s="28">
        <v>5</v>
      </c>
      <c r="C25" s="29" t="s">
        <v>639</v>
      </c>
      <c r="D25" s="30" t="s">
        <v>10</v>
      </c>
      <c r="E25" s="60" t="s">
        <v>640</v>
      </c>
      <c r="F25" s="60" t="s">
        <v>641</v>
      </c>
      <c r="G25" s="60" t="s">
        <v>642</v>
      </c>
      <c r="H25" s="61">
        <f ca="1">IFERROR(__xludf.DUMMYFUNCTION("MAX(IF(REGEXMATCH(E25,""^\d{1,2},\d{2}$""),VALUE(E25),0),IF(REGEXMATCH(F25,""^\d{1,2},\d{2}$""),VALUE(F25),0),IF(REGEXMATCH(G25,""^\d{1,2},\d{2}$""),VALUE(G25),0))"),7.72)</f>
        <v>7.72</v>
      </c>
      <c r="I25" s="21"/>
      <c r="J25" s="22"/>
    </row>
    <row r="26" spans="1:10" ht="13.2" x14ac:dyDescent="0.25">
      <c r="A26" s="17"/>
      <c r="B26" s="62" t="s">
        <v>18</v>
      </c>
      <c r="C26" s="36"/>
      <c r="D26" s="44" t="s">
        <v>19</v>
      </c>
      <c r="E26" s="38"/>
      <c r="F26" s="38"/>
      <c r="G26" s="38"/>
      <c r="H26" s="63"/>
      <c r="I26" s="21"/>
      <c r="J26" s="22"/>
    </row>
    <row r="27" spans="1:10" ht="13.2" x14ac:dyDescent="0.25">
      <c r="A27" s="17"/>
      <c r="B27" s="17"/>
      <c r="D27" s="18"/>
      <c r="E27" s="18"/>
      <c r="F27" s="18"/>
      <c r="G27" s="18"/>
      <c r="H27" s="58"/>
      <c r="I27" s="21"/>
      <c r="J27" s="22"/>
    </row>
    <row r="28" spans="1:10" ht="15.6" x14ac:dyDescent="0.25">
      <c r="A28" s="23">
        <v>4</v>
      </c>
      <c r="B28" s="97" t="s">
        <v>54</v>
      </c>
      <c r="C28" s="98"/>
      <c r="D28" s="98"/>
      <c r="E28" s="98"/>
      <c r="F28" s="98"/>
      <c r="G28" s="98"/>
      <c r="H28" s="59"/>
      <c r="I28" s="25">
        <f ca="1">IF(COUNTIFS(H29:H33,"&gt;0") &gt; 3, FLOOR((SUM(H29:H33)-MIN(H29,H30,H31,H32,H33))/4,0.0001), )</f>
        <v>7.21</v>
      </c>
      <c r="J28" s="26">
        <f ca="1">IF(I28=0,"",RANK(I28,$I$4:$I$224,))</f>
        <v>4</v>
      </c>
    </row>
    <row r="29" spans="1:10" ht="13.2" x14ac:dyDescent="0.25">
      <c r="A29" s="17"/>
      <c r="B29" s="28">
        <v>5.39</v>
      </c>
      <c r="C29" s="29" t="s">
        <v>489</v>
      </c>
      <c r="D29" s="30" t="s">
        <v>10</v>
      </c>
      <c r="E29" s="60" t="s">
        <v>241</v>
      </c>
      <c r="F29" s="60" t="s">
        <v>643</v>
      </c>
      <c r="G29" s="60"/>
      <c r="H29" s="61">
        <f ca="1">IFERROR(__xludf.DUMMYFUNCTION("MAX(IF(REGEXMATCH(E29,""^\d{1,2},\d{2}$""),VALUE(E29),0),IF(REGEXMATCH(F29,""^\d{1,2},\d{2}$""),VALUE(F29),0),IF(REGEXMATCH(G29,""^\d{1,2},\d{2}$""),VALUE(G29),0))"),7.52)</f>
        <v>7.52</v>
      </c>
      <c r="I29" s="21"/>
      <c r="J29" s="22"/>
    </row>
    <row r="30" spans="1:10" ht="13.2" x14ac:dyDescent="0.25">
      <c r="A30" s="17"/>
      <c r="B30" s="28">
        <v>6.33</v>
      </c>
      <c r="C30" s="29" t="s">
        <v>644</v>
      </c>
      <c r="D30" s="30" t="s">
        <v>10</v>
      </c>
      <c r="E30" s="60" t="s">
        <v>621</v>
      </c>
      <c r="F30" s="60" t="s">
        <v>84</v>
      </c>
      <c r="G30" s="60"/>
      <c r="H30" s="61">
        <f ca="1">IFERROR(__xludf.DUMMYFUNCTION("MAX(IF(REGEXMATCH(E30,""^\d{1,2},\d{2}$""),VALUE(E30),0),IF(REGEXMATCH(F30,""^\d{1,2},\d{2}$""),VALUE(F30),0),IF(REGEXMATCH(G30,""^\d{1,2},\d{2}$""),VALUE(G30),0))"),5.3)</f>
        <v>5.3</v>
      </c>
      <c r="I30" s="21"/>
      <c r="J30" s="22"/>
    </row>
    <row r="31" spans="1:10" ht="13.2" x14ac:dyDescent="0.25">
      <c r="A31" s="17"/>
      <c r="B31" s="28">
        <v>6.71</v>
      </c>
      <c r="C31" s="29" t="s">
        <v>492</v>
      </c>
      <c r="D31" s="30" t="s">
        <v>15</v>
      </c>
      <c r="E31" s="60" t="s">
        <v>645</v>
      </c>
      <c r="F31" s="60" t="s">
        <v>310</v>
      </c>
      <c r="G31" s="60"/>
      <c r="H31" s="61">
        <f ca="1">IFERROR(__xludf.DUMMYFUNCTION("MAX(IF(REGEXMATCH(E31,""^\d{1,2},\d{2}$""),VALUE(E31),0),IF(REGEXMATCH(F31,""^\d{1,2},\d{2}$""),VALUE(F31),0),IF(REGEXMATCH(G31,""^\d{1,2},\d{2}$""),VALUE(G31),0))"),7.02)</f>
        <v>7.02</v>
      </c>
      <c r="I31" s="21"/>
      <c r="J31" s="22"/>
    </row>
    <row r="32" spans="1:10" ht="13.2" x14ac:dyDescent="0.25">
      <c r="A32" s="17"/>
      <c r="B32" s="28">
        <v>6.81</v>
      </c>
      <c r="C32" s="29" t="s">
        <v>646</v>
      </c>
      <c r="D32" s="30" t="s">
        <v>10</v>
      </c>
      <c r="E32" s="60" t="s">
        <v>624</v>
      </c>
      <c r="F32" s="60" t="s">
        <v>647</v>
      </c>
      <c r="G32" s="60"/>
      <c r="H32" s="61">
        <f ca="1">IFERROR(__xludf.DUMMYFUNCTION("MAX(IF(REGEXMATCH(E32,""^\d{1,2},\d{2}$""),VALUE(E32),0),IF(REGEXMATCH(F32,""^\d{1,2},\d{2}$""),VALUE(F32),0),IF(REGEXMATCH(G32,""^\d{1,2},\d{2}$""),VALUE(G32),0))"),6.9)</f>
        <v>6.9</v>
      </c>
      <c r="I32" s="21"/>
      <c r="J32" s="22"/>
    </row>
    <row r="33" spans="1:10" ht="13.2" x14ac:dyDescent="0.25">
      <c r="A33" s="17"/>
      <c r="B33" s="28">
        <v>5</v>
      </c>
      <c r="C33" s="29" t="s">
        <v>487</v>
      </c>
      <c r="D33" s="30" t="s">
        <v>15</v>
      </c>
      <c r="E33" s="60" t="s">
        <v>648</v>
      </c>
      <c r="F33" s="60" t="s">
        <v>241</v>
      </c>
      <c r="G33" s="60"/>
      <c r="H33" s="61">
        <f ca="1">IFERROR(__xludf.DUMMYFUNCTION("MAX(IF(REGEXMATCH(E33,""^\d{1,2},\d{2}$""),VALUE(E33),0),IF(REGEXMATCH(F33,""^\d{1,2},\d{2}$""),VALUE(F33),0),IF(REGEXMATCH(G33,""^\d{1,2},\d{2}$""),VALUE(G33),0))"),7.4)</f>
        <v>7.4</v>
      </c>
      <c r="I33" s="21"/>
      <c r="J33" s="22"/>
    </row>
    <row r="34" spans="1:10" ht="13.2" x14ac:dyDescent="0.25">
      <c r="A34" s="17"/>
      <c r="B34" s="62" t="s">
        <v>18</v>
      </c>
      <c r="C34" s="36"/>
      <c r="D34" s="44" t="s">
        <v>61</v>
      </c>
      <c r="E34" s="38"/>
      <c r="F34" s="38"/>
      <c r="G34" s="38"/>
      <c r="H34" s="63"/>
      <c r="I34" s="21"/>
      <c r="J34" s="22"/>
    </row>
    <row r="35" spans="1:10" ht="13.2" x14ac:dyDescent="0.25">
      <c r="A35" s="17"/>
      <c r="B35" s="17"/>
      <c r="D35" s="18"/>
      <c r="E35" s="18"/>
      <c r="F35" s="18"/>
      <c r="G35" s="18"/>
      <c r="H35" s="58"/>
      <c r="I35" s="21"/>
      <c r="J35" s="22"/>
    </row>
    <row r="36" spans="1:10" ht="15.6" x14ac:dyDescent="0.25">
      <c r="A36" s="23">
        <v>5</v>
      </c>
      <c r="B36" s="97" t="s">
        <v>96</v>
      </c>
      <c r="C36" s="98"/>
      <c r="D36" s="98"/>
      <c r="E36" s="98"/>
      <c r="F36" s="98"/>
      <c r="G36" s="98"/>
      <c r="H36" s="59"/>
      <c r="I36" s="25">
        <f ca="1">IF(COUNTIFS(H37:H41,"&gt;0") &gt; 3, FLOOR((SUM(H37:H41)-MIN(H37,H38,H39,H40,H41))/4,0.0001), )</f>
        <v>7.1074999999999999</v>
      </c>
      <c r="J36" s="26">
        <f ca="1">IF(I36=0,"",RANK(I36,$I$4:$I$224,))</f>
        <v>5</v>
      </c>
    </row>
    <row r="37" spans="1:10" ht="13.2" x14ac:dyDescent="0.25">
      <c r="A37" s="17"/>
      <c r="B37" s="28">
        <v>1</v>
      </c>
      <c r="C37" s="29" t="s">
        <v>649</v>
      </c>
      <c r="D37" s="30" t="s">
        <v>15</v>
      </c>
      <c r="E37" s="60" t="s">
        <v>297</v>
      </c>
      <c r="F37" s="60" t="s">
        <v>361</v>
      </c>
      <c r="G37" s="60" t="s">
        <v>650</v>
      </c>
      <c r="H37" s="61">
        <f ca="1">IFERROR(__xludf.DUMMYFUNCTION("MAX(IF(REGEXMATCH(E37,""^\d{1,2},\d{2}$""),VALUE(E37),0),IF(REGEXMATCH(F37,""^\d{1,2},\d{2}$""),VALUE(F37),0),IF(REGEXMATCH(G37,""^\d{1,2},\d{2}$""),VALUE(G37),0))"),8.35)</f>
        <v>8.35</v>
      </c>
      <c r="I37" s="21"/>
      <c r="J37" s="22"/>
    </row>
    <row r="38" spans="1:10" ht="13.2" x14ac:dyDescent="0.25">
      <c r="A38" s="17"/>
      <c r="B38" s="28">
        <v>2</v>
      </c>
      <c r="C38" s="29" t="s">
        <v>651</v>
      </c>
      <c r="D38" s="30" t="s">
        <v>10</v>
      </c>
      <c r="E38" s="60" t="s">
        <v>652</v>
      </c>
      <c r="F38" s="60" t="s">
        <v>611</v>
      </c>
      <c r="G38" s="60" t="s">
        <v>278</v>
      </c>
      <c r="H38" s="61">
        <f ca="1">IFERROR(__xludf.DUMMYFUNCTION("MAX(IF(REGEXMATCH(E38,""^\d{1,2},\d{2}$""),VALUE(E38),0),IF(REGEXMATCH(F38,""^\d{1,2},\d{2}$""),VALUE(F38),0),IF(REGEXMATCH(G38,""^\d{1,2},\d{2}$""),VALUE(G38),0))"),6.59)</f>
        <v>6.59</v>
      </c>
      <c r="I38" s="21"/>
      <c r="J38" s="22"/>
    </row>
    <row r="39" spans="1:10" ht="13.2" x14ac:dyDescent="0.25">
      <c r="A39" s="17"/>
      <c r="B39" s="28">
        <v>3</v>
      </c>
      <c r="C39" s="29" t="s">
        <v>653</v>
      </c>
      <c r="D39" s="30" t="s">
        <v>10</v>
      </c>
      <c r="E39" s="60" t="s">
        <v>654</v>
      </c>
      <c r="F39" s="60" t="s">
        <v>655</v>
      </c>
      <c r="G39" s="60" t="s">
        <v>656</v>
      </c>
      <c r="H39" s="61">
        <f ca="1">IFERROR(__xludf.DUMMYFUNCTION("MAX(IF(REGEXMATCH(E39,""^\d{1,2},\d{2}$""),VALUE(E39),0),IF(REGEXMATCH(F39,""^\d{1,2},\d{2}$""),VALUE(F39),0),IF(REGEXMATCH(G39,""^\d{1,2},\d{2}$""),VALUE(G39),0))"),6.12)</f>
        <v>6.12</v>
      </c>
      <c r="I39" s="21"/>
      <c r="J39" s="22"/>
    </row>
    <row r="40" spans="1:10" ht="13.2" x14ac:dyDescent="0.25">
      <c r="A40" s="17"/>
      <c r="B40" s="28">
        <v>4</v>
      </c>
      <c r="C40" s="29" t="s">
        <v>657</v>
      </c>
      <c r="D40" s="30" t="s">
        <v>15</v>
      </c>
      <c r="E40" s="60" t="s">
        <v>658</v>
      </c>
      <c r="F40" s="60" t="s">
        <v>366</v>
      </c>
      <c r="G40" s="60" t="s">
        <v>659</v>
      </c>
      <c r="H40" s="61">
        <f ca="1">IFERROR(__xludf.DUMMYFUNCTION("MAX(IF(REGEXMATCH(E40,""^\d{1,2},\d{2}$""),VALUE(E40),0),IF(REGEXMATCH(F40,""^\d{1,2},\d{2}$""),VALUE(F40),0),IF(REGEXMATCH(G40,""^\d{1,2},\d{2}$""),VALUE(G40),0))"),7)</f>
        <v>7</v>
      </c>
      <c r="I40" s="21"/>
      <c r="J40" s="22"/>
    </row>
    <row r="41" spans="1:10" ht="13.2" x14ac:dyDescent="0.25">
      <c r="A41" s="17"/>
      <c r="B41" s="28">
        <v>5</v>
      </c>
      <c r="C41" s="29" t="s">
        <v>519</v>
      </c>
      <c r="D41" s="30" t="s">
        <v>10</v>
      </c>
      <c r="E41" s="60" t="s">
        <v>660</v>
      </c>
      <c r="F41" s="60" t="s">
        <v>632</v>
      </c>
      <c r="G41" s="60" t="s">
        <v>661</v>
      </c>
      <c r="H41" s="61">
        <f ca="1">IFERROR(__xludf.DUMMYFUNCTION("MAX(IF(REGEXMATCH(E41,""^\d{1,2},\d{2}$""),VALUE(E41),0),IF(REGEXMATCH(F41,""^\d{1,2},\d{2}$""),VALUE(F41),0),IF(REGEXMATCH(G41,""^\d{1,2},\d{2}$""),VALUE(G41),0))"),6.49)</f>
        <v>6.49</v>
      </c>
      <c r="I41" s="21"/>
      <c r="J41" s="22"/>
    </row>
    <row r="42" spans="1:10" ht="13.2" x14ac:dyDescent="0.25">
      <c r="A42" s="17"/>
      <c r="B42" s="62" t="s">
        <v>18</v>
      </c>
      <c r="C42" s="36"/>
      <c r="D42" s="44" t="s">
        <v>254</v>
      </c>
      <c r="E42" s="38"/>
      <c r="F42" s="38"/>
      <c r="G42" s="38"/>
      <c r="H42" s="63"/>
      <c r="I42" s="21"/>
      <c r="J42" s="22"/>
    </row>
    <row r="43" spans="1:10" ht="13.2" x14ac:dyDescent="0.25">
      <c r="A43" s="17"/>
      <c r="B43" s="17"/>
      <c r="D43" s="18"/>
      <c r="E43" s="18"/>
      <c r="F43" s="18"/>
      <c r="G43" s="18"/>
      <c r="H43" s="58"/>
      <c r="I43" s="21"/>
      <c r="J43" s="22"/>
    </row>
    <row r="44" spans="1:10" ht="15.6" x14ac:dyDescent="0.25">
      <c r="A44" s="23">
        <v>6</v>
      </c>
      <c r="B44" s="97" t="s">
        <v>37</v>
      </c>
      <c r="C44" s="98"/>
      <c r="D44" s="98"/>
      <c r="E44" s="98"/>
      <c r="F44" s="98"/>
      <c r="G44" s="98"/>
      <c r="H44" s="59"/>
      <c r="I44" s="25">
        <f ca="1">IF(COUNTIFS(H45:H49,"&gt;0") &gt; 3, FLOOR((SUM(H45:H49)-MIN(H45,H46,H47,H48,H49))/4,0.0001), )</f>
        <v>6.6150000000000002</v>
      </c>
      <c r="J44" s="26">
        <f ca="1">IF(I44=0,"",RANK(I44,$I$4:$I$224,))</f>
        <v>6</v>
      </c>
    </row>
    <row r="45" spans="1:10" ht="13.2" x14ac:dyDescent="0.25">
      <c r="A45" s="17"/>
      <c r="B45" s="28">
        <v>1</v>
      </c>
      <c r="C45" s="29" t="s">
        <v>662</v>
      </c>
      <c r="D45" s="30" t="s">
        <v>10</v>
      </c>
      <c r="E45" s="60" t="s">
        <v>629</v>
      </c>
      <c r="F45" s="60" t="s">
        <v>308</v>
      </c>
      <c r="G45" s="60" t="s">
        <v>663</v>
      </c>
      <c r="H45" s="61">
        <f ca="1">IFERROR(__xludf.DUMMYFUNCTION("MAX(IF(REGEXMATCH(E45,""^\d{1,2},\d{2}$""),VALUE(E45),0),IF(REGEXMATCH(F45,""^\d{1,2},\d{2}$""),VALUE(F45),0),IF(REGEXMATCH(G45,""^\d{1,2},\d{2}$""),VALUE(G45),0))"),6.87)</f>
        <v>6.87</v>
      </c>
      <c r="I45" s="21"/>
      <c r="J45" s="22"/>
    </row>
    <row r="46" spans="1:10" ht="13.2" x14ac:dyDescent="0.25">
      <c r="A46" s="17"/>
      <c r="B46" s="28">
        <v>2</v>
      </c>
      <c r="C46" s="29" t="s">
        <v>664</v>
      </c>
      <c r="D46" s="30" t="s">
        <v>15</v>
      </c>
      <c r="E46" s="60" t="s">
        <v>665</v>
      </c>
      <c r="F46" s="60" t="s">
        <v>666</v>
      </c>
      <c r="G46" s="60" t="s">
        <v>667</v>
      </c>
      <c r="H46" s="61">
        <f ca="1">IFERROR(__xludf.DUMMYFUNCTION("MAX(IF(REGEXMATCH(E46,""^\d{1,2},\d{2}$""),VALUE(E46),0),IF(REGEXMATCH(F46,""^\d{1,2},\d{2}$""),VALUE(F46),0),IF(REGEXMATCH(G46,""^\d{1,2},\d{2}$""),VALUE(G46),0))"),6.02)</f>
        <v>6.02</v>
      </c>
      <c r="I46" s="21"/>
      <c r="J46" s="22"/>
    </row>
    <row r="47" spans="1:10" ht="13.2" x14ac:dyDescent="0.25">
      <c r="A47" s="17"/>
      <c r="B47" s="28">
        <v>3</v>
      </c>
      <c r="C47" s="29" t="s">
        <v>668</v>
      </c>
      <c r="D47" s="30" t="s">
        <v>10</v>
      </c>
      <c r="E47" s="60" t="s">
        <v>613</v>
      </c>
      <c r="F47" s="60" t="s">
        <v>626</v>
      </c>
      <c r="G47" s="60" t="s">
        <v>666</v>
      </c>
      <c r="H47" s="61">
        <f ca="1">IFERROR(__xludf.DUMMYFUNCTION("MAX(IF(REGEXMATCH(E47,""^\d{1,2},\d{2}$""),VALUE(E47),0),IF(REGEXMATCH(F47,""^\d{1,2},\d{2}$""),VALUE(F47),0),IF(REGEXMATCH(G47,""^\d{1,2},\d{2}$""),VALUE(G47),0))"),6.54)</f>
        <v>6.54</v>
      </c>
      <c r="I47" s="21"/>
      <c r="J47" s="22"/>
    </row>
    <row r="48" spans="1:10" ht="13.2" x14ac:dyDescent="0.25">
      <c r="A48" s="17"/>
      <c r="B48" s="28">
        <v>4</v>
      </c>
      <c r="C48" s="29" t="s">
        <v>669</v>
      </c>
      <c r="D48" s="30" t="s">
        <v>10</v>
      </c>
      <c r="E48" s="60" t="s">
        <v>279</v>
      </c>
      <c r="F48" s="60" t="s">
        <v>648</v>
      </c>
      <c r="G48" s="60" t="s">
        <v>632</v>
      </c>
      <c r="H48" s="61">
        <f ca="1">IFERROR(__xludf.DUMMYFUNCTION("MAX(IF(REGEXMATCH(E48,""^\d{1,2},\d{2}$""),VALUE(E48),0),IF(REGEXMATCH(F48,""^\d{1,2},\d{2}$""),VALUE(F48),0),IF(REGEXMATCH(G48,""^\d{1,2},\d{2}$""),VALUE(G48),0))"),7.03)</f>
        <v>7.03</v>
      </c>
      <c r="I48" s="21"/>
      <c r="J48" s="22"/>
    </row>
    <row r="49" spans="1:10" ht="13.2" x14ac:dyDescent="0.25">
      <c r="A49" s="17"/>
      <c r="B49" s="28">
        <v>5</v>
      </c>
      <c r="C49" s="29" t="s">
        <v>670</v>
      </c>
      <c r="D49" s="30" t="s">
        <v>41</v>
      </c>
      <c r="E49" s="60" t="s">
        <v>671</v>
      </c>
      <c r="F49" s="60" t="s">
        <v>87</v>
      </c>
      <c r="G49" s="60" t="s">
        <v>171</v>
      </c>
      <c r="H49" s="61">
        <f ca="1">IFERROR(__xludf.DUMMYFUNCTION("MAX(IF(REGEXMATCH(E49,""^\d{1,2},\d{2}$""),VALUE(E49),0),IF(REGEXMATCH(F49,""^\d{1,2},\d{2}$""),VALUE(F49),0),IF(REGEXMATCH(G49,""^\d{1,2},\d{2}$""),VALUE(G49),0))"),4.36)</f>
        <v>4.3600000000000003</v>
      </c>
      <c r="I49" s="21"/>
      <c r="J49" s="22"/>
    </row>
    <row r="50" spans="1:10" ht="13.2" x14ac:dyDescent="0.25">
      <c r="A50" s="17"/>
      <c r="B50" s="62" t="s">
        <v>18</v>
      </c>
      <c r="C50" s="36"/>
      <c r="D50" s="44" t="s">
        <v>45</v>
      </c>
      <c r="E50" s="38"/>
      <c r="F50" s="38"/>
      <c r="G50" s="38"/>
      <c r="H50" s="63"/>
      <c r="I50" s="21"/>
      <c r="J50" s="22"/>
    </row>
    <row r="51" spans="1:10" ht="13.2" x14ac:dyDescent="0.25">
      <c r="A51" s="17"/>
      <c r="B51" s="17"/>
      <c r="D51" s="18"/>
      <c r="E51" s="18"/>
      <c r="F51" s="18"/>
      <c r="G51" s="18"/>
      <c r="H51" s="58"/>
      <c r="I51" s="21"/>
      <c r="J51" s="22"/>
    </row>
    <row r="52" spans="1:10" ht="15.6" x14ac:dyDescent="0.25">
      <c r="A52" s="23">
        <v>7</v>
      </c>
      <c r="B52" s="97"/>
      <c r="C52" s="98"/>
      <c r="D52" s="98"/>
      <c r="E52" s="98"/>
      <c r="F52" s="98"/>
      <c r="G52" s="98"/>
      <c r="H52" s="59"/>
      <c r="I52" s="25">
        <f ca="1">IF(COUNTIFS(H53:H57,"&gt;0") &gt; 3, FLOOR((SUM(H53:H57)-MIN(H53,H54,H55,H56,H57))/4,0.0001), )</f>
        <v>0</v>
      </c>
      <c r="J52" s="26" t="str">
        <f ca="1">IF(I52=0,"",RANK(I52,$I$4:$I$224,))</f>
        <v/>
      </c>
    </row>
    <row r="53" spans="1:10" ht="13.2" x14ac:dyDescent="0.25">
      <c r="A53" s="17"/>
      <c r="B53" s="28">
        <v>1</v>
      </c>
      <c r="C53" s="29"/>
      <c r="D53" s="30"/>
      <c r="E53" s="60"/>
      <c r="F53" s="60"/>
      <c r="G53" s="60"/>
      <c r="H53" s="61">
        <f ca="1">IFERROR(__xludf.DUMMYFUNCTION("MAX(IF(REGEXMATCH(E53,""^\d{1,2},\d{2}$""),VALUE(E53),0),IF(REGEXMATCH(F53,""^\d{1,2},\d{2}$""),VALUE(F53),0),IF(REGEXMATCH(G53,""^\d{1,2},\d{2}$""),VALUE(G53),0))"),0)</f>
        <v>0</v>
      </c>
      <c r="I53" s="21"/>
      <c r="J53" s="22"/>
    </row>
    <row r="54" spans="1:10" ht="13.2" x14ac:dyDescent="0.25">
      <c r="A54" s="17"/>
      <c r="B54" s="28">
        <v>2</v>
      </c>
      <c r="C54" s="29"/>
      <c r="D54" s="30"/>
      <c r="E54" s="60"/>
      <c r="F54" s="60"/>
      <c r="G54" s="60"/>
      <c r="H54" s="61">
        <f ca="1">IFERROR(__xludf.DUMMYFUNCTION("MAX(IF(REGEXMATCH(E54,""^\d{1,2},\d{2}$""),VALUE(E54),0),IF(REGEXMATCH(F54,""^\d{1,2},\d{2}$""),VALUE(F54),0),IF(REGEXMATCH(G54,""^\d{1,2},\d{2}$""),VALUE(G54),0))"),0)</f>
        <v>0</v>
      </c>
      <c r="I54" s="21"/>
      <c r="J54" s="22"/>
    </row>
    <row r="55" spans="1:10" ht="13.2" x14ac:dyDescent="0.25">
      <c r="A55" s="17"/>
      <c r="B55" s="28">
        <v>3</v>
      </c>
      <c r="C55" s="29"/>
      <c r="D55" s="30"/>
      <c r="E55" s="60"/>
      <c r="F55" s="60"/>
      <c r="G55" s="60"/>
      <c r="H55" s="61">
        <f ca="1">IFERROR(__xludf.DUMMYFUNCTION("MAX(IF(REGEXMATCH(E55,""^\d{1,2},\d{2}$""),VALUE(E55),0),IF(REGEXMATCH(F55,""^\d{1,2},\d{2}$""),VALUE(F55),0),IF(REGEXMATCH(G55,""^\d{1,2},\d{2}$""),VALUE(G55),0))"),0)</f>
        <v>0</v>
      </c>
      <c r="I55" s="21"/>
      <c r="J55" s="22"/>
    </row>
    <row r="56" spans="1:10" ht="13.2" x14ac:dyDescent="0.25">
      <c r="A56" s="17"/>
      <c r="B56" s="28">
        <v>4</v>
      </c>
      <c r="C56" s="29"/>
      <c r="D56" s="30"/>
      <c r="E56" s="60"/>
      <c r="F56" s="60"/>
      <c r="G56" s="60"/>
      <c r="H56" s="61">
        <f ca="1">IFERROR(__xludf.DUMMYFUNCTION("MAX(IF(REGEXMATCH(E56,""^\d{1,2},\d{2}$""),VALUE(E56),0),IF(REGEXMATCH(F56,""^\d{1,2},\d{2}$""),VALUE(F56),0),IF(REGEXMATCH(G56,""^\d{1,2},\d{2}$""),VALUE(G56),0))"),0)</f>
        <v>0</v>
      </c>
      <c r="I56" s="21"/>
      <c r="J56" s="22"/>
    </row>
    <row r="57" spans="1:10" ht="13.2" x14ac:dyDescent="0.25">
      <c r="A57" s="17"/>
      <c r="B57" s="28">
        <v>5</v>
      </c>
      <c r="C57" s="29"/>
      <c r="D57" s="30"/>
      <c r="E57" s="60"/>
      <c r="F57" s="60"/>
      <c r="G57" s="60"/>
      <c r="H57" s="61">
        <f ca="1">IFERROR(__xludf.DUMMYFUNCTION("MAX(IF(REGEXMATCH(E57,""^\d{1,2},\d{2}$""),VALUE(E57),0),IF(REGEXMATCH(F57,""^\d{1,2},\d{2}$""),VALUE(F57),0),IF(REGEXMATCH(G57,""^\d{1,2},\d{2}$""),VALUE(G57),0))"),0)</f>
        <v>0</v>
      </c>
      <c r="I57" s="21"/>
      <c r="J57" s="22"/>
    </row>
    <row r="58" spans="1:10" ht="13.2" x14ac:dyDescent="0.25">
      <c r="A58" s="17"/>
      <c r="B58" s="62" t="s">
        <v>18</v>
      </c>
      <c r="C58" s="36"/>
      <c r="D58" s="44"/>
      <c r="E58" s="38"/>
      <c r="F58" s="38"/>
      <c r="G58" s="38"/>
      <c r="H58" s="63"/>
      <c r="I58" s="21"/>
      <c r="J58" s="22"/>
    </row>
    <row r="59" spans="1:10" ht="13.2" x14ac:dyDescent="0.25">
      <c r="A59" s="17"/>
      <c r="B59" s="17"/>
      <c r="D59" s="18"/>
      <c r="E59" s="18"/>
      <c r="F59" s="18"/>
      <c r="G59" s="18"/>
      <c r="H59" s="58"/>
      <c r="I59" s="21"/>
      <c r="J59" s="22"/>
    </row>
    <row r="60" spans="1:10" ht="15.6" x14ac:dyDescent="0.25">
      <c r="A60" s="23">
        <v>8</v>
      </c>
      <c r="B60" s="97"/>
      <c r="C60" s="98"/>
      <c r="D60" s="98"/>
      <c r="E60" s="98"/>
      <c r="F60" s="98"/>
      <c r="G60" s="98"/>
      <c r="H60" s="59"/>
      <c r="I60" s="25">
        <f ca="1">IF(COUNTIFS(H61:H65,"&gt;0") &gt; 3, FLOOR((SUM(H61:H65)-MIN(H61,H62,H63,H64,H65))/4,0.0001), )</f>
        <v>0</v>
      </c>
      <c r="J60" s="26" t="str">
        <f ca="1">IF(I60=0,"",RANK(I60,$I$4:$I$224,))</f>
        <v/>
      </c>
    </row>
    <row r="61" spans="1:10" ht="13.2" x14ac:dyDescent="0.25">
      <c r="A61" s="17"/>
      <c r="B61" s="28">
        <v>1</v>
      </c>
      <c r="C61" s="29"/>
      <c r="D61" s="30"/>
      <c r="E61" s="60"/>
      <c r="F61" s="60"/>
      <c r="G61" s="60"/>
      <c r="H61" s="61">
        <f ca="1">IFERROR(__xludf.DUMMYFUNCTION("MAX(IF(REGEXMATCH(E61,""^\d{1,2},\d{2}$""),VALUE(E61),0),IF(REGEXMATCH(F61,""^\d{1,2},\d{2}$""),VALUE(F61),0),IF(REGEXMATCH(G61,""^\d{1,2},\d{2}$""),VALUE(G61),0))"),0)</f>
        <v>0</v>
      </c>
      <c r="I61" s="21"/>
      <c r="J61" s="22"/>
    </row>
    <row r="62" spans="1:10" ht="13.2" x14ac:dyDescent="0.25">
      <c r="A62" s="17"/>
      <c r="B62" s="28">
        <v>2</v>
      </c>
      <c r="C62" s="29"/>
      <c r="D62" s="30"/>
      <c r="E62" s="60"/>
      <c r="F62" s="60"/>
      <c r="G62" s="60"/>
      <c r="H62" s="61">
        <f ca="1">IFERROR(__xludf.DUMMYFUNCTION("MAX(IF(REGEXMATCH(E62,""^\d{1,2},\d{2}$""),VALUE(E62),0),IF(REGEXMATCH(F62,""^\d{1,2},\d{2}$""),VALUE(F62),0),IF(REGEXMATCH(G62,""^\d{1,2},\d{2}$""),VALUE(G62),0))"),0)</f>
        <v>0</v>
      </c>
      <c r="I62" s="21"/>
      <c r="J62" s="22"/>
    </row>
    <row r="63" spans="1:10" ht="13.2" x14ac:dyDescent="0.25">
      <c r="A63" s="17"/>
      <c r="B63" s="28">
        <v>3</v>
      </c>
      <c r="C63" s="29"/>
      <c r="D63" s="30"/>
      <c r="E63" s="60"/>
      <c r="F63" s="60"/>
      <c r="G63" s="60"/>
      <c r="H63" s="61">
        <f ca="1">IFERROR(__xludf.DUMMYFUNCTION("MAX(IF(REGEXMATCH(E63,""^\d{1,2},\d{2}$""),VALUE(E63),0),IF(REGEXMATCH(F63,""^\d{1,2},\d{2}$""),VALUE(F63),0),IF(REGEXMATCH(G63,""^\d{1,2},\d{2}$""),VALUE(G63),0))"),0)</f>
        <v>0</v>
      </c>
      <c r="I63" s="21"/>
      <c r="J63" s="22"/>
    </row>
    <row r="64" spans="1:10" ht="13.2" x14ac:dyDescent="0.25">
      <c r="A64" s="17"/>
      <c r="B64" s="28">
        <v>4</v>
      </c>
      <c r="C64" s="29"/>
      <c r="D64" s="30"/>
      <c r="E64" s="60"/>
      <c r="F64" s="60"/>
      <c r="G64" s="60"/>
      <c r="H64" s="61">
        <f ca="1">IFERROR(__xludf.DUMMYFUNCTION("MAX(IF(REGEXMATCH(E64,""^\d{1,2},\d{2}$""),VALUE(E64),0),IF(REGEXMATCH(F64,""^\d{1,2},\d{2}$""),VALUE(F64),0),IF(REGEXMATCH(G64,""^\d{1,2},\d{2}$""),VALUE(G64),0))"),0)</f>
        <v>0</v>
      </c>
      <c r="I64" s="21"/>
      <c r="J64" s="22"/>
    </row>
    <row r="65" spans="1:10" ht="13.2" x14ac:dyDescent="0.25">
      <c r="A65" s="17"/>
      <c r="B65" s="28">
        <v>5</v>
      </c>
      <c r="C65" s="29"/>
      <c r="D65" s="30"/>
      <c r="E65" s="60"/>
      <c r="F65" s="60"/>
      <c r="G65" s="60"/>
      <c r="H65" s="61">
        <f ca="1">IFERROR(__xludf.DUMMYFUNCTION("MAX(IF(REGEXMATCH(E65,""^\d{1,2},\d{2}$""),VALUE(E65),0),IF(REGEXMATCH(F65,""^\d{1,2},\d{2}$""),VALUE(F65),0),IF(REGEXMATCH(G65,""^\d{1,2},\d{2}$""),VALUE(G65),0))"),0)</f>
        <v>0</v>
      </c>
      <c r="I65" s="21"/>
      <c r="J65" s="22"/>
    </row>
    <row r="66" spans="1:10" ht="13.2" x14ac:dyDescent="0.25">
      <c r="A66" s="17"/>
      <c r="B66" s="62" t="s">
        <v>18</v>
      </c>
      <c r="C66" s="36"/>
      <c r="D66" s="44"/>
      <c r="E66" s="38"/>
      <c r="F66" s="38"/>
      <c r="G66" s="38"/>
      <c r="H66" s="63"/>
      <c r="I66" s="21"/>
      <c r="J66" s="22"/>
    </row>
    <row r="67" spans="1:10" ht="13.2" x14ac:dyDescent="0.25">
      <c r="A67" s="17"/>
      <c r="B67" s="17"/>
      <c r="D67" s="18"/>
      <c r="E67" s="18"/>
      <c r="F67" s="18"/>
      <c r="G67" s="18"/>
      <c r="H67" s="58"/>
      <c r="I67" s="21"/>
      <c r="J67" s="22"/>
    </row>
    <row r="68" spans="1:10" ht="15.6" x14ac:dyDescent="0.25">
      <c r="A68" s="23">
        <v>9</v>
      </c>
      <c r="B68" s="97"/>
      <c r="C68" s="98"/>
      <c r="D68" s="98"/>
      <c r="E68" s="98"/>
      <c r="F68" s="98"/>
      <c r="G68" s="98"/>
      <c r="H68" s="59"/>
      <c r="I68" s="25">
        <f ca="1">IF(COUNTIFS(H69:H73,"&gt;0") &gt; 3, FLOOR((SUM(H69:H73)-MIN(H69,H70,H71,H72,H73))/4,0.0001), )</f>
        <v>0</v>
      </c>
      <c r="J68" s="26" t="str">
        <f ca="1">IF(I68=0,"",RANK(I68,$I$4:$I$224,))</f>
        <v/>
      </c>
    </row>
    <row r="69" spans="1:10" ht="13.2" x14ac:dyDescent="0.25">
      <c r="A69" s="17"/>
      <c r="B69" s="28">
        <v>1</v>
      </c>
      <c r="C69" s="29"/>
      <c r="D69" s="30"/>
      <c r="E69" s="60"/>
      <c r="F69" s="60"/>
      <c r="G69" s="60"/>
      <c r="H69" s="61">
        <f ca="1">IFERROR(__xludf.DUMMYFUNCTION("MAX(IF(REGEXMATCH(E69,""^\d{1,2},\d{2}$""),VALUE(E69),0),IF(REGEXMATCH(F69,""^\d{1,2},\d{2}$""),VALUE(F69),0),IF(REGEXMATCH(G69,""^\d{1,2},\d{2}$""),VALUE(G69),0))"),0)</f>
        <v>0</v>
      </c>
      <c r="I69" s="21"/>
      <c r="J69" s="22"/>
    </row>
    <row r="70" spans="1:10" ht="13.2" x14ac:dyDescent="0.25">
      <c r="A70" s="17"/>
      <c r="B70" s="28">
        <v>2</v>
      </c>
      <c r="C70" s="29"/>
      <c r="D70" s="30"/>
      <c r="E70" s="60"/>
      <c r="F70" s="60"/>
      <c r="G70" s="60"/>
      <c r="H70" s="61">
        <f ca="1">IFERROR(__xludf.DUMMYFUNCTION("MAX(IF(REGEXMATCH(E70,""^\d{1,2},\d{2}$""),VALUE(E70),0),IF(REGEXMATCH(F70,""^\d{1,2},\d{2}$""),VALUE(F70),0),IF(REGEXMATCH(G70,""^\d{1,2},\d{2}$""),VALUE(G70),0))"),0)</f>
        <v>0</v>
      </c>
      <c r="I70" s="21"/>
      <c r="J70" s="22"/>
    </row>
    <row r="71" spans="1:10" ht="13.2" x14ac:dyDescent="0.25">
      <c r="A71" s="17"/>
      <c r="B71" s="28">
        <v>3</v>
      </c>
      <c r="C71" s="29"/>
      <c r="D71" s="30"/>
      <c r="E71" s="60"/>
      <c r="F71" s="60"/>
      <c r="G71" s="60"/>
      <c r="H71" s="61">
        <f ca="1">IFERROR(__xludf.DUMMYFUNCTION("MAX(IF(REGEXMATCH(E71,""^\d{1,2},\d{2}$""),VALUE(E71),0),IF(REGEXMATCH(F71,""^\d{1,2},\d{2}$""),VALUE(F71),0),IF(REGEXMATCH(G71,""^\d{1,2},\d{2}$""),VALUE(G71),0))"),0)</f>
        <v>0</v>
      </c>
      <c r="I71" s="21"/>
      <c r="J71" s="22"/>
    </row>
    <row r="72" spans="1:10" ht="13.2" x14ac:dyDescent="0.25">
      <c r="A72" s="17"/>
      <c r="B72" s="28">
        <v>4</v>
      </c>
      <c r="C72" s="29"/>
      <c r="D72" s="30"/>
      <c r="E72" s="60"/>
      <c r="F72" s="60"/>
      <c r="G72" s="60"/>
      <c r="H72" s="61">
        <f ca="1">IFERROR(__xludf.DUMMYFUNCTION("MAX(IF(REGEXMATCH(E72,""^\d{1,2},\d{2}$""),VALUE(E72),0),IF(REGEXMATCH(F72,""^\d{1,2},\d{2}$""),VALUE(F72),0),IF(REGEXMATCH(G72,""^\d{1,2},\d{2}$""),VALUE(G72),0))"),0)</f>
        <v>0</v>
      </c>
      <c r="I72" s="21"/>
      <c r="J72" s="22"/>
    </row>
    <row r="73" spans="1:10" ht="13.2" x14ac:dyDescent="0.25">
      <c r="A73" s="17"/>
      <c r="B73" s="28">
        <v>5</v>
      </c>
      <c r="C73" s="29"/>
      <c r="D73" s="30"/>
      <c r="E73" s="60"/>
      <c r="F73" s="60"/>
      <c r="G73" s="60"/>
      <c r="H73" s="61">
        <f ca="1">IFERROR(__xludf.DUMMYFUNCTION("MAX(IF(REGEXMATCH(E73,""^\d{1,2},\d{2}$""),VALUE(E73),0),IF(REGEXMATCH(F73,""^\d{1,2},\d{2}$""),VALUE(F73),0),IF(REGEXMATCH(G73,""^\d{1,2},\d{2}$""),VALUE(G73),0))"),0)</f>
        <v>0</v>
      </c>
      <c r="I73" s="21"/>
      <c r="J73" s="22"/>
    </row>
    <row r="74" spans="1:10" ht="13.2" x14ac:dyDescent="0.25">
      <c r="A74" s="17"/>
      <c r="B74" s="62" t="s">
        <v>18</v>
      </c>
      <c r="C74" s="36"/>
      <c r="D74" s="44"/>
      <c r="E74" s="38"/>
      <c r="F74" s="38"/>
      <c r="G74" s="38"/>
      <c r="H74" s="63"/>
      <c r="I74" s="21"/>
      <c r="J74" s="22"/>
    </row>
    <row r="75" spans="1:10" ht="13.2" x14ac:dyDescent="0.25">
      <c r="A75" s="17"/>
      <c r="B75" s="17"/>
      <c r="D75" s="18"/>
      <c r="E75" s="18"/>
      <c r="F75" s="18"/>
      <c r="G75" s="18"/>
      <c r="H75" s="58"/>
      <c r="I75" s="21"/>
      <c r="J75" s="22"/>
    </row>
    <row r="76" spans="1:10" ht="15.6" x14ac:dyDescent="0.25">
      <c r="A76" s="23">
        <v>10</v>
      </c>
      <c r="B76" s="97"/>
      <c r="C76" s="98"/>
      <c r="D76" s="98"/>
      <c r="E76" s="98"/>
      <c r="F76" s="98"/>
      <c r="G76" s="98"/>
      <c r="H76" s="59"/>
      <c r="I76" s="25">
        <f ca="1">IF(COUNTIFS(H77:H81,"&gt;0") &gt; 3, FLOOR((SUM(H77:H81)-MIN(H77,H78,H79,H80,H81))/4,0.0001), )</f>
        <v>0</v>
      </c>
      <c r="J76" s="26" t="str">
        <f ca="1">IF(I76=0,"",RANK(I76,$I$4:$I$224,))</f>
        <v/>
      </c>
    </row>
    <row r="77" spans="1:10" ht="13.2" x14ac:dyDescent="0.25">
      <c r="A77" s="17"/>
      <c r="B77" s="28">
        <v>1</v>
      </c>
      <c r="C77" s="29"/>
      <c r="D77" s="30"/>
      <c r="E77" s="60"/>
      <c r="F77" s="60"/>
      <c r="G77" s="60"/>
      <c r="H77" s="61">
        <f ca="1">IFERROR(__xludf.DUMMYFUNCTION("MAX(IF(REGEXMATCH(E77,""^\d{1,2},\d{2}$""),VALUE(E77),0),IF(REGEXMATCH(F77,""^\d{1,2},\d{2}$""),VALUE(F77),0),IF(REGEXMATCH(G77,""^\d{1,2},\d{2}$""),VALUE(G77),0))"),0)</f>
        <v>0</v>
      </c>
      <c r="I77" s="21"/>
      <c r="J77" s="22"/>
    </row>
    <row r="78" spans="1:10" ht="13.2" x14ac:dyDescent="0.25">
      <c r="A78" s="17"/>
      <c r="B78" s="28">
        <v>2</v>
      </c>
      <c r="C78" s="29"/>
      <c r="D78" s="30"/>
      <c r="E78" s="60"/>
      <c r="F78" s="60"/>
      <c r="G78" s="60"/>
      <c r="H78" s="61">
        <f ca="1">IFERROR(__xludf.DUMMYFUNCTION("MAX(IF(REGEXMATCH(E78,""^\d{1,2},\d{2}$""),VALUE(E78),0),IF(REGEXMATCH(F78,""^\d{1,2},\d{2}$""),VALUE(F78),0),IF(REGEXMATCH(G78,""^\d{1,2},\d{2}$""),VALUE(G78),0))"),0)</f>
        <v>0</v>
      </c>
      <c r="I78" s="21"/>
      <c r="J78" s="22"/>
    </row>
    <row r="79" spans="1:10" ht="13.2" x14ac:dyDescent="0.25">
      <c r="A79" s="17"/>
      <c r="B79" s="28">
        <v>3</v>
      </c>
      <c r="C79" s="29"/>
      <c r="D79" s="30"/>
      <c r="E79" s="60"/>
      <c r="F79" s="60"/>
      <c r="G79" s="60"/>
      <c r="H79" s="61">
        <f ca="1">IFERROR(__xludf.DUMMYFUNCTION("MAX(IF(REGEXMATCH(E79,""^\d{1,2},\d{2}$""),VALUE(E79),0),IF(REGEXMATCH(F79,""^\d{1,2},\d{2}$""),VALUE(F79),0),IF(REGEXMATCH(G79,""^\d{1,2},\d{2}$""),VALUE(G79),0))"),0)</f>
        <v>0</v>
      </c>
      <c r="I79" s="21"/>
      <c r="J79" s="22"/>
    </row>
    <row r="80" spans="1:10" ht="13.2" x14ac:dyDescent="0.25">
      <c r="A80" s="17"/>
      <c r="B80" s="28">
        <v>4</v>
      </c>
      <c r="C80" s="29"/>
      <c r="D80" s="30"/>
      <c r="E80" s="60"/>
      <c r="F80" s="60"/>
      <c r="G80" s="60"/>
      <c r="H80" s="61">
        <f ca="1">IFERROR(__xludf.DUMMYFUNCTION("MAX(IF(REGEXMATCH(E80,""^\d{1,2},\d{2}$""),VALUE(E80),0),IF(REGEXMATCH(F80,""^\d{1,2},\d{2}$""),VALUE(F80),0),IF(REGEXMATCH(G80,""^\d{1,2},\d{2}$""),VALUE(G80),0))"),0)</f>
        <v>0</v>
      </c>
      <c r="I80" s="21"/>
      <c r="J80" s="22"/>
    </row>
    <row r="81" spans="1:10" ht="13.2" x14ac:dyDescent="0.25">
      <c r="A81" s="17"/>
      <c r="B81" s="28">
        <v>5</v>
      </c>
      <c r="C81" s="29"/>
      <c r="D81" s="30"/>
      <c r="E81" s="60"/>
      <c r="F81" s="60"/>
      <c r="G81" s="60"/>
      <c r="H81" s="61">
        <f ca="1">IFERROR(__xludf.DUMMYFUNCTION("MAX(IF(REGEXMATCH(E81,""^\d{1,2},\d{2}$""),VALUE(E81),0),IF(REGEXMATCH(F81,""^\d{1,2},\d{2}$""),VALUE(F81),0),IF(REGEXMATCH(G81,""^\d{1,2},\d{2}$""),VALUE(G81),0))"),0)</f>
        <v>0</v>
      </c>
      <c r="I81" s="21"/>
      <c r="J81" s="22"/>
    </row>
    <row r="82" spans="1:10" ht="13.2" x14ac:dyDescent="0.25">
      <c r="A82" s="17"/>
      <c r="B82" s="62" t="s">
        <v>18</v>
      </c>
      <c r="C82" s="36"/>
      <c r="D82" s="44"/>
      <c r="E82" s="38"/>
      <c r="F82" s="38"/>
      <c r="G82" s="38"/>
      <c r="H82" s="63"/>
      <c r="I82" s="21"/>
      <c r="J82" s="22"/>
    </row>
    <row r="83" spans="1:10" ht="13.2" x14ac:dyDescent="0.25">
      <c r="A83" s="17"/>
      <c r="B83" s="17"/>
      <c r="D83" s="18"/>
      <c r="E83" s="18"/>
      <c r="F83" s="18"/>
      <c r="G83" s="18"/>
      <c r="H83" s="58"/>
      <c r="I83" s="21"/>
      <c r="J83" s="22"/>
    </row>
    <row r="84" spans="1:10" ht="15.6" x14ac:dyDescent="0.25">
      <c r="A84" s="23">
        <v>11</v>
      </c>
      <c r="B84" s="97"/>
      <c r="C84" s="98"/>
      <c r="D84" s="98"/>
      <c r="E84" s="98"/>
      <c r="F84" s="98"/>
      <c r="G84" s="98"/>
      <c r="H84" s="59"/>
      <c r="I84" s="25">
        <f ca="1">IF(COUNTIFS(H85:H89,"&gt;0") &gt; 3, FLOOR((SUM(H85:H89)-MIN(H85,H86,H87,H88,H89))/4,0.0001), )</f>
        <v>0</v>
      </c>
      <c r="J84" s="26" t="str">
        <f ca="1">IF(I84=0,"",RANK(I84,$I$4:$I$224,))</f>
        <v/>
      </c>
    </row>
    <row r="85" spans="1:10" ht="13.2" x14ac:dyDescent="0.25">
      <c r="A85" s="17"/>
      <c r="B85" s="28">
        <v>1</v>
      </c>
      <c r="C85" s="29"/>
      <c r="D85" s="30"/>
      <c r="E85" s="60"/>
      <c r="F85" s="60"/>
      <c r="G85" s="60"/>
      <c r="H85" s="61">
        <f ca="1">IFERROR(__xludf.DUMMYFUNCTION("MAX(IF(REGEXMATCH(E85,""^\d{1,2},\d{2}$""),VALUE(E85),0),IF(REGEXMATCH(F85,""^\d{1,2},\d{2}$""),VALUE(F85),0),IF(REGEXMATCH(G85,""^\d{1,2},\d{2}$""),VALUE(G85),0))"),0)</f>
        <v>0</v>
      </c>
      <c r="I85" s="21"/>
      <c r="J85" s="22"/>
    </row>
    <row r="86" spans="1:10" ht="13.2" x14ac:dyDescent="0.25">
      <c r="A86" s="17"/>
      <c r="B86" s="28">
        <v>2</v>
      </c>
      <c r="C86" s="29"/>
      <c r="D86" s="30"/>
      <c r="E86" s="60"/>
      <c r="F86" s="60"/>
      <c r="G86" s="60"/>
      <c r="H86" s="61">
        <f ca="1">IFERROR(__xludf.DUMMYFUNCTION("MAX(IF(REGEXMATCH(E86,""^\d{1,2},\d{2}$""),VALUE(E86),0),IF(REGEXMATCH(F86,""^\d{1,2},\d{2}$""),VALUE(F86),0),IF(REGEXMATCH(G86,""^\d{1,2},\d{2}$""),VALUE(G86),0))"),0)</f>
        <v>0</v>
      </c>
      <c r="I86" s="21"/>
      <c r="J86" s="22"/>
    </row>
    <row r="87" spans="1:10" ht="13.2" x14ac:dyDescent="0.25">
      <c r="A87" s="17"/>
      <c r="B87" s="28">
        <v>3</v>
      </c>
      <c r="C87" s="29"/>
      <c r="D87" s="30"/>
      <c r="E87" s="60"/>
      <c r="F87" s="60"/>
      <c r="G87" s="60"/>
      <c r="H87" s="61">
        <f ca="1">IFERROR(__xludf.DUMMYFUNCTION("MAX(IF(REGEXMATCH(E87,""^\d{1,2},\d{2}$""),VALUE(E87),0),IF(REGEXMATCH(F87,""^\d{1,2},\d{2}$""),VALUE(F87),0),IF(REGEXMATCH(G87,""^\d{1,2},\d{2}$""),VALUE(G87),0))"),0)</f>
        <v>0</v>
      </c>
      <c r="I87" s="21"/>
      <c r="J87" s="22"/>
    </row>
    <row r="88" spans="1:10" ht="13.2" x14ac:dyDescent="0.25">
      <c r="A88" s="17"/>
      <c r="B88" s="28">
        <v>4</v>
      </c>
      <c r="C88" s="29"/>
      <c r="D88" s="30"/>
      <c r="E88" s="60"/>
      <c r="F88" s="60"/>
      <c r="G88" s="60"/>
      <c r="H88" s="61">
        <f ca="1">IFERROR(__xludf.DUMMYFUNCTION("MAX(IF(REGEXMATCH(E88,""^\d{1,2},\d{2}$""),VALUE(E88),0),IF(REGEXMATCH(F88,""^\d{1,2},\d{2}$""),VALUE(F88),0),IF(REGEXMATCH(G88,""^\d{1,2},\d{2}$""),VALUE(G88),0))"),0)</f>
        <v>0</v>
      </c>
      <c r="I88" s="21"/>
      <c r="J88" s="22"/>
    </row>
    <row r="89" spans="1:10" ht="13.2" x14ac:dyDescent="0.25">
      <c r="A89" s="17"/>
      <c r="B89" s="28">
        <v>5</v>
      </c>
      <c r="C89" s="29"/>
      <c r="D89" s="30"/>
      <c r="E89" s="60"/>
      <c r="F89" s="60"/>
      <c r="G89" s="60"/>
      <c r="H89" s="61">
        <f ca="1">IFERROR(__xludf.DUMMYFUNCTION("MAX(IF(REGEXMATCH(E89,""^\d{1,2},\d{2}$""),VALUE(E89),0),IF(REGEXMATCH(F89,""^\d{1,2},\d{2}$""),VALUE(F89),0),IF(REGEXMATCH(G89,""^\d{1,2},\d{2}$""),VALUE(G89),0))"),0)</f>
        <v>0</v>
      </c>
      <c r="I89" s="21"/>
      <c r="J89" s="22"/>
    </row>
    <row r="90" spans="1:10" ht="13.2" x14ac:dyDescent="0.25">
      <c r="A90" s="17"/>
      <c r="B90" s="62" t="s">
        <v>18</v>
      </c>
      <c r="C90" s="36"/>
      <c r="D90" s="44"/>
      <c r="E90" s="38"/>
      <c r="F90" s="38"/>
      <c r="G90" s="38"/>
      <c r="H90" s="63"/>
      <c r="I90" s="21"/>
      <c r="J90" s="22"/>
    </row>
    <row r="91" spans="1:10" ht="13.2" x14ac:dyDescent="0.25">
      <c r="A91" s="17"/>
      <c r="B91" s="17"/>
      <c r="D91" s="18"/>
      <c r="E91" s="18"/>
      <c r="F91" s="18"/>
      <c r="G91" s="18"/>
      <c r="H91" s="58"/>
      <c r="I91" s="21"/>
      <c r="J91" s="22"/>
    </row>
    <row r="92" spans="1:10" ht="15.6" x14ac:dyDescent="0.25">
      <c r="A92" s="23">
        <v>12</v>
      </c>
      <c r="B92" s="97"/>
      <c r="C92" s="98"/>
      <c r="D92" s="98"/>
      <c r="E92" s="98"/>
      <c r="F92" s="98"/>
      <c r="G92" s="98"/>
      <c r="H92" s="59"/>
      <c r="I92" s="25">
        <f ca="1">IF(COUNTIFS(H93:H97,"&gt;0") &gt; 3, FLOOR((SUM(H93:H97)-MIN(H93,H94,H95,H96,H97))/4,0.0001), )</f>
        <v>0</v>
      </c>
      <c r="J92" s="26" t="str">
        <f ca="1">IF(I92=0,"",RANK(I92,$I$4:$I$224,))</f>
        <v/>
      </c>
    </row>
    <row r="93" spans="1:10" ht="13.2" x14ac:dyDescent="0.25">
      <c r="A93" s="17"/>
      <c r="B93" s="28">
        <v>1</v>
      </c>
      <c r="C93" s="29"/>
      <c r="D93" s="30"/>
      <c r="E93" s="60"/>
      <c r="F93" s="60"/>
      <c r="G93" s="60"/>
      <c r="H93" s="61">
        <f ca="1">IFERROR(__xludf.DUMMYFUNCTION("MAX(IF(REGEXMATCH(E93,""^\d{1,2},\d{2}$""),VALUE(E93),0),IF(REGEXMATCH(F93,""^\d{1,2},\d{2}$""),VALUE(F93),0),IF(REGEXMATCH(G93,""^\d{1,2},\d{2}$""),VALUE(G93),0))"),0)</f>
        <v>0</v>
      </c>
      <c r="I93" s="21"/>
      <c r="J93" s="22"/>
    </row>
    <row r="94" spans="1:10" ht="13.2" x14ac:dyDescent="0.25">
      <c r="A94" s="17"/>
      <c r="B94" s="28">
        <v>2</v>
      </c>
      <c r="C94" s="29"/>
      <c r="D94" s="30"/>
      <c r="E94" s="60"/>
      <c r="F94" s="60"/>
      <c r="G94" s="60"/>
      <c r="H94" s="61">
        <f ca="1">IFERROR(__xludf.DUMMYFUNCTION("MAX(IF(REGEXMATCH(E94,""^\d{1,2},\d{2}$""),VALUE(E94),0),IF(REGEXMATCH(F94,""^\d{1,2},\d{2}$""),VALUE(F94),0),IF(REGEXMATCH(G94,""^\d{1,2},\d{2}$""),VALUE(G94),0))"),0)</f>
        <v>0</v>
      </c>
      <c r="I94" s="21"/>
      <c r="J94" s="22"/>
    </row>
    <row r="95" spans="1:10" ht="13.2" x14ac:dyDescent="0.25">
      <c r="A95" s="17"/>
      <c r="B95" s="28">
        <v>3</v>
      </c>
      <c r="C95" s="29"/>
      <c r="D95" s="30"/>
      <c r="E95" s="60"/>
      <c r="F95" s="60"/>
      <c r="G95" s="60"/>
      <c r="H95" s="61">
        <f ca="1">IFERROR(__xludf.DUMMYFUNCTION("MAX(IF(REGEXMATCH(E95,""^\d{1,2},\d{2}$""),VALUE(E95),0),IF(REGEXMATCH(F95,""^\d{1,2},\d{2}$""),VALUE(F95),0),IF(REGEXMATCH(G95,""^\d{1,2},\d{2}$""),VALUE(G95),0))"),0)</f>
        <v>0</v>
      </c>
      <c r="I95" s="21"/>
      <c r="J95" s="22"/>
    </row>
    <row r="96" spans="1:10" ht="13.2" x14ac:dyDescent="0.25">
      <c r="A96" s="17"/>
      <c r="B96" s="28">
        <v>4</v>
      </c>
      <c r="C96" s="29"/>
      <c r="D96" s="30"/>
      <c r="E96" s="60"/>
      <c r="F96" s="60"/>
      <c r="G96" s="60"/>
      <c r="H96" s="61">
        <f ca="1">IFERROR(__xludf.DUMMYFUNCTION("MAX(IF(REGEXMATCH(E96,""^\d{1,2},\d{2}$""),VALUE(E96),0),IF(REGEXMATCH(F96,""^\d{1,2},\d{2}$""),VALUE(F96),0),IF(REGEXMATCH(G96,""^\d{1,2},\d{2}$""),VALUE(G96),0))"),0)</f>
        <v>0</v>
      </c>
      <c r="I96" s="21"/>
      <c r="J96" s="22"/>
    </row>
    <row r="97" spans="1:10" ht="13.2" x14ac:dyDescent="0.25">
      <c r="A97" s="17"/>
      <c r="B97" s="28">
        <v>5</v>
      </c>
      <c r="C97" s="29"/>
      <c r="D97" s="30"/>
      <c r="E97" s="60"/>
      <c r="F97" s="60"/>
      <c r="G97" s="60"/>
      <c r="H97" s="61">
        <f ca="1">IFERROR(__xludf.DUMMYFUNCTION("MAX(IF(REGEXMATCH(E97,""^\d{1,2},\d{2}$""),VALUE(E97),0),IF(REGEXMATCH(F97,""^\d{1,2},\d{2}$""),VALUE(F97),0),IF(REGEXMATCH(G97,""^\d{1,2},\d{2}$""),VALUE(G97),0))"),0)</f>
        <v>0</v>
      </c>
      <c r="I97" s="21"/>
      <c r="J97" s="22"/>
    </row>
    <row r="98" spans="1:10" ht="13.2" x14ac:dyDescent="0.25">
      <c r="A98" s="17"/>
      <c r="B98" s="62" t="s">
        <v>18</v>
      </c>
      <c r="C98" s="36"/>
      <c r="D98" s="44"/>
      <c r="E98" s="38"/>
      <c r="F98" s="38"/>
      <c r="G98" s="38"/>
      <c r="H98" s="63"/>
      <c r="I98" s="21"/>
      <c r="J98" s="22"/>
    </row>
    <row r="99" spans="1:10" ht="13.2" x14ac:dyDescent="0.25">
      <c r="A99" s="17"/>
      <c r="B99" s="17"/>
      <c r="D99" s="18"/>
      <c r="E99" s="18"/>
      <c r="F99" s="18"/>
      <c r="G99" s="18"/>
      <c r="H99" s="58"/>
      <c r="I99" s="21"/>
      <c r="J99" s="22"/>
    </row>
    <row r="100" spans="1:10" ht="15.6" x14ac:dyDescent="0.25">
      <c r="A100" s="23">
        <v>13</v>
      </c>
      <c r="B100" s="97"/>
      <c r="C100" s="98"/>
      <c r="D100" s="98"/>
      <c r="E100" s="98"/>
      <c r="F100" s="98"/>
      <c r="G100" s="98"/>
      <c r="H100" s="59"/>
      <c r="I100" s="25">
        <f ca="1">IF(COUNTIFS(H101:H105,"&gt;0") &gt; 3, FLOOR((SUM(H101:H105)-MIN(H101,H102,H103,H104,H105))/4,0.0001), )</f>
        <v>0</v>
      </c>
      <c r="J100" s="26" t="str">
        <f ca="1">IF(I100=0,"",RANK(I100,$I$4:$I$224,))</f>
        <v/>
      </c>
    </row>
    <row r="101" spans="1:10" ht="13.2" x14ac:dyDescent="0.25">
      <c r="A101" s="17"/>
      <c r="B101" s="28">
        <v>1</v>
      </c>
      <c r="C101" s="29"/>
      <c r="D101" s="30"/>
      <c r="E101" s="60"/>
      <c r="F101" s="60"/>
      <c r="G101" s="60"/>
      <c r="H101" s="61">
        <f ca="1">IFERROR(__xludf.DUMMYFUNCTION("MAX(IF(REGEXMATCH(E101,""^\d{1,2},\d{2}$""),VALUE(E101),0),IF(REGEXMATCH(F101,""^\d{1,2},\d{2}$""),VALUE(F101),0),IF(REGEXMATCH(G101,""^\d{1,2},\d{2}$""),VALUE(G101),0))"),0)</f>
        <v>0</v>
      </c>
      <c r="I101" s="21"/>
      <c r="J101" s="22"/>
    </row>
    <row r="102" spans="1:10" ht="13.2" x14ac:dyDescent="0.25">
      <c r="A102" s="17"/>
      <c r="B102" s="28">
        <v>2</v>
      </c>
      <c r="C102" s="29"/>
      <c r="D102" s="30"/>
      <c r="E102" s="60"/>
      <c r="F102" s="60"/>
      <c r="G102" s="60"/>
      <c r="H102" s="61">
        <f ca="1">IFERROR(__xludf.DUMMYFUNCTION("MAX(IF(REGEXMATCH(E102,""^\d{1,2},\d{2}$""),VALUE(E102),0),IF(REGEXMATCH(F102,""^\d{1,2},\d{2}$""),VALUE(F102),0),IF(REGEXMATCH(G102,""^\d{1,2},\d{2}$""),VALUE(G102),0))"),0)</f>
        <v>0</v>
      </c>
      <c r="I102" s="21"/>
      <c r="J102" s="22"/>
    </row>
    <row r="103" spans="1:10" ht="13.2" x14ac:dyDescent="0.25">
      <c r="A103" s="17"/>
      <c r="B103" s="28">
        <v>3</v>
      </c>
      <c r="C103" s="29"/>
      <c r="D103" s="30"/>
      <c r="E103" s="60"/>
      <c r="F103" s="60"/>
      <c r="G103" s="60"/>
      <c r="H103" s="61">
        <f ca="1">IFERROR(__xludf.DUMMYFUNCTION("MAX(IF(REGEXMATCH(E103,""^\d{1,2},\d{2}$""),VALUE(E103),0),IF(REGEXMATCH(F103,""^\d{1,2},\d{2}$""),VALUE(F103),0),IF(REGEXMATCH(G103,""^\d{1,2},\d{2}$""),VALUE(G103),0))"),0)</f>
        <v>0</v>
      </c>
      <c r="I103" s="21"/>
      <c r="J103" s="22"/>
    </row>
    <row r="104" spans="1:10" ht="13.2" x14ac:dyDescent="0.25">
      <c r="A104" s="17"/>
      <c r="B104" s="28">
        <v>4</v>
      </c>
      <c r="C104" s="29"/>
      <c r="D104" s="30"/>
      <c r="E104" s="60"/>
      <c r="F104" s="60"/>
      <c r="G104" s="60"/>
      <c r="H104" s="61">
        <f ca="1">IFERROR(__xludf.DUMMYFUNCTION("MAX(IF(REGEXMATCH(E104,""^\d{1,2},\d{2}$""),VALUE(E104),0),IF(REGEXMATCH(F104,""^\d{1,2},\d{2}$""),VALUE(F104),0),IF(REGEXMATCH(G104,""^\d{1,2},\d{2}$""),VALUE(G104),0))"),0)</f>
        <v>0</v>
      </c>
      <c r="I104" s="21"/>
      <c r="J104" s="22"/>
    </row>
    <row r="105" spans="1:10" ht="13.2" x14ac:dyDescent="0.25">
      <c r="A105" s="17"/>
      <c r="B105" s="28">
        <v>5</v>
      </c>
      <c r="C105" s="29"/>
      <c r="D105" s="30"/>
      <c r="E105" s="60"/>
      <c r="F105" s="60"/>
      <c r="G105" s="60"/>
      <c r="H105" s="61">
        <f ca="1">IFERROR(__xludf.DUMMYFUNCTION("MAX(IF(REGEXMATCH(E105,""^\d{1,2},\d{2}$""),VALUE(E105),0),IF(REGEXMATCH(F105,""^\d{1,2},\d{2}$""),VALUE(F105),0),IF(REGEXMATCH(G105,""^\d{1,2},\d{2}$""),VALUE(G105),0))"),0)</f>
        <v>0</v>
      </c>
      <c r="I105" s="21"/>
      <c r="J105" s="22"/>
    </row>
    <row r="106" spans="1:10" ht="13.2" x14ac:dyDescent="0.25">
      <c r="A106" s="17"/>
      <c r="B106" s="17"/>
      <c r="D106" s="18"/>
      <c r="E106" s="18"/>
      <c r="F106" s="18"/>
      <c r="G106" s="18"/>
      <c r="H106" s="58"/>
      <c r="I106" s="21"/>
      <c r="J106" s="22"/>
    </row>
    <row r="107" spans="1:10" ht="13.2" x14ac:dyDescent="0.25">
      <c r="A107" s="17"/>
      <c r="B107" s="17"/>
      <c r="D107" s="18"/>
      <c r="E107" s="18"/>
      <c r="F107" s="18"/>
      <c r="G107" s="18"/>
      <c r="H107" s="58"/>
      <c r="I107" s="21"/>
      <c r="J107" s="22"/>
    </row>
    <row r="108" spans="1:10" ht="15.6" x14ac:dyDescent="0.25">
      <c r="A108" s="23">
        <v>14</v>
      </c>
      <c r="B108" s="97"/>
      <c r="C108" s="98"/>
      <c r="D108" s="98"/>
      <c r="E108" s="98"/>
      <c r="F108" s="98"/>
      <c r="G108" s="98"/>
      <c r="H108" s="59"/>
      <c r="I108" s="25">
        <f ca="1">IF(COUNTIFS(H109:H113,"&gt;0") &gt; 3, FLOOR((SUM(H109:H113)-MIN(H109,H110,H111,H112,H113))/4,0.0001), )</f>
        <v>0</v>
      </c>
      <c r="J108" s="26" t="str">
        <f ca="1">IF(I108=0,"",RANK(I108,$I$4:$I$224,))</f>
        <v/>
      </c>
    </row>
    <row r="109" spans="1:10" ht="13.2" x14ac:dyDescent="0.25">
      <c r="A109" s="17"/>
      <c r="B109" s="28">
        <v>1</v>
      </c>
      <c r="C109" s="29"/>
      <c r="D109" s="30"/>
      <c r="E109" s="60"/>
      <c r="F109" s="60"/>
      <c r="G109" s="60"/>
      <c r="H109" s="61">
        <f ca="1">IFERROR(__xludf.DUMMYFUNCTION("MAX(IF(REGEXMATCH(E109,""^\d{1,2},\d{2}$""),VALUE(E109),0),IF(REGEXMATCH(F109,""^\d{1,2},\d{2}$""),VALUE(F109),0),IF(REGEXMATCH(G109,""^\d{1,2},\d{2}$""),VALUE(G109),0))"),0)</f>
        <v>0</v>
      </c>
      <c r="I109" s="21"/>
      <c r="J109" s="22"/>
    </row>
    <row r="110" spans="1:10" ht="13.2" x14ac:dyDescent="0.25">
      <c r="A110" s="17"/>
      <c r="B110" s="28">
        <v>2</v>
      </c>
      <c r="C110" s="29"/>
      <c r="D110" s="30"/>
      <c r="E110" s="60"/>
      <c r="F110" s="60"/>
      <c r="G110" s="60"/>
      <c r="H110" s="61">
        <f ca="1">IFERROR(__xludf.DUMMYFUNCTION("MAX(IF(REGEXMATCH(E110,""^\d{1,2},\d{2}$""),VALUE(E110),0),IF(REGEXMATCH(F110,""^\d{1,2},\d{2}$""),VALUE(F110),0),IF(REGEXMATCH(G110,""^\d{1,2},\d{2}$""),VALUE(G110),0))"),0)</f>
        <v>0</v>
      </c>
      <c r="I110" s="21"/>
      <c r="J110" s="22"/>
    </row>
    <row r="111" spans="1:10" ht="13.2" x14ac:dyDescent="0.25">
      <c r="A111" s="17"/>
      <c r="B111" s="28">
        <v>3</v>
      </c>
      <c r="C111" s="29"/>
      <c r="D111" s="30"/>
      <c r="E111" s="60"/>
      <c r="F111" s="60"/>
      <c r="G111" s="60"/>
      <c r="H111" s="61">
        <f ca="1">IFERROR(__xludf.DUMMYFUNCTION("MAX(IF(REGEXMATCH(E111,""^\d{1,2},\d{2}$""),VALUE(E111),0),IF(REGEXMATCH(F111,""^\d{1,2},\d{2}$""),VALUE(F111),0),IF(REGEXMATCH(G111,""^\d{1,2},\d{2}$""),VALUE(G111),0))"),0)</f>
        <v>0</v>
      </c>
      <c r="I111" s="21"/>
      <c r="J111" s="22"/>
    </row>
    <row r="112" spans="1:10" ht="13.2" x14ac:dyDescent="0.25">
      <c r="A112" s="17"/>
      <c r="B112" s="28">
        <v>4</v>
      </c>
      <c r="C112" s="29"/>
      <c r="D112" s="30"/>
      <c r="E112" s="60"/>
      <c r="F112" s="60"/>
      <c r="G112" s="60"/>
      <c r="H112" s="61">
        <f ca="1">IFERROR(__xludf.DUMMYFUNCTION("MAX(IF(REGEXMATCH(E112,""^\d{1,2},\d{2}$""),VALUE(E112),0),IF(REGEXMATCH(F112,""^\d{1,2},\d{2}$""),VALUE(F112),0),IF(REGEXMATCH(G112,""^\d{1,2},\d{2}$""),VALUE(G112),0))"),0)</f>
        <v>0</v>
      </c>
      <c r="I112" s="21"/>
      <c r="J112" s="22"/>
    </row>
    <row r="113" spans="1:10" ht="13.2" x14ac:dyDescent="0.25">
      <c r="A113" s="17"/>
      <c r="B113" s="28">
        <v>5</v>
      </c>
      <c r="C113" s="29"/>
      <c r="D113" s="30"/>
      <c r="E113" s="60"/>
      <c r="F113" s="60"/>
      <c r="G113" s="60"/>
      <c r="H113" s="61">
        <f ca="1">IFERROR(__xludf.DUMMYFUNCTION("MAX(IF(REGEXMATCH(E113,""^\d{1,2},\d{2}$""),VALUE(E113),0),IF(REGEXMATCH(F113,""^\d{1,2},\d{2}$""),VALUE(F113),0),IF(REGEXMATCH(G113,""^\d{1,2},\d{2}$""),VALUE(G113),0))"),0)</f>
        <v>0</v>
      </c>
      <c r="I113" s="21"/>
      <c r="J113" s="22"/>
    </row>
    <row r="114" spans="1:10" ht="13.2" x14ac:dyDescent="0.25">
      <c r="A114" s="17"/>
      <c r="B114" s="62" t="s">
        <v>18</v>
      </c>
      <c r="C114" s="36"/>
      <c r="D114" s="44"/>
      <c r="E114" s="38"/>
      <c r="F114" s="38"/>
      <c r="G114" s="38"/>
      <c r="H114" s="63"/>
      <c r="I114" s="21"/>
      <c r="J114" s="22"/>
    </row>
    <row r="115" spans="1:10" ht="13.2" x14ac:dyDescent="0.25">
      <c r="A115" s="17"/>
      <c r="B115" s="17"/>
      <c r="D115" s="18"/>
      <c r="E115" s="18"/>
      <c r="F115" s="18"/>
      <c r="G115" s="18"/>
      <c r="H115" s="58"/>
      <c r="I115" s="21"/>
      <c r="J115" s="22"/>
    </row>
    <row r="116" spans="1:10" ht="15.6" x14ac:dyDescent="0.25">
      <c r="A116" s="23">
        <v>15</v>
      </c>
      <c r="B116" s="97"/>
      <c r="C116" s="98"/>
      <c r="D116" s="98"/>
      <c r="E116" s="98"/>
      <c r="F116" s="98"/>
      <c r="G116" s="98"/>
      <c r="H116" s="59"/>
      <c r="I116" s="25">
        <f ca="1">IF(COUNTIFS(H117:H121,"&gt;0") &gt; 3, FLOOR((SUM(H117:H121)-MIN(H117,H118,H119,H120,H121))/4,0.0001), )</f>
        <v>0</v>
      </c>
      <c r="J116" s="26" t="str">
        <f ca="1">IF(I116=0,"",RANK(I116,$I$4:$I$224,))</f>
        <v/>
      </c>
    </row>
    <row r="117" spans="1:10" ht="13.2" x14ac:dyDescent="0.25">
      <c r="A117" s="17"/>
      <c r="B117" s="28">
        <v>1</v>
      </c>
      <c r="C117" s="29"/>
      <c r="D117" s="30"/>
      <c r="E117" s="60"/>
      <c r="F117" s="60"/>
      <c r="G117" s="60"/>
      <c r="H117" s="61">
        <f ca="1">IFERROR(__xludf.DUMMYFUNCTION("MAX(IF(REGEXMATCH(E117,""^\d{1,2},\d{2}$""),VALUE(E117),0),IF(REGEXMATCH(F117,""^\d{1,2},\d{2}$""),VALUE(F117),0),IF(REGEXMATCH(G117,""^\d{1,2},\d{2}$""),VALUE(G117),0))"),0)</f>
        <v>0</v>
      </c>
      <c r="I117" s="21"/>
      <c r="J117" s="22"/>
    </row>
    <row r="118" spans="1:10" ht="13.2" x14ac:dyDescent="0.25">
      <c r="A118" s="17"/>
      <c r="B118" s="28">
        <v>2</v>
      </c>
      <c r="C118" s="29"/>
      <c r="D118" s="30"/>
      <c r="E118" s="60"/>
      <c r="F118" s="60"/>
      <c r="G118" s="60"/>
      <c r="H118" s="61">
        <f ca="1">IFERROR(__xludf.DUMMYFUNCTION("MAX(IF(REGEXMATCH(E118,""^\d{1,2},\d{2}$""),VALUE(E118),0),IF(REGEXMATCH(F118,""^\d{1,2},\d{2}$""),VALUE(F118),0),IF(REGEXMATCH(G118,""^\d{1,2},\d{2}$""),VALUE(G118),0))"),0)</f>
        <v>0</v>
      </c>
      <c r="I118" s="21"/>
      <c r="J118" s="22"/>
    </row>
    <row r="119" spans="1:10" ht="13.2" x14ac:dyDescent="0.25">
      <c r="A119" s="17"/>
      <c r="B119" s="28">
        <v>3</v>
      </c>
      <c r="C119" s="29"/>
      <c r="D119" s="30"/>
      <c r="E119" s="60"/>
      <c r="F119" s="60"/>
      <c r="G119" s="60"/>
      <c r="H119" s="61">
        <f ca="1">IFERROR(__xludf.DUMMYFUNCTION("MAX(IF(REGEXMATCH(E119,""^\d{1,2},\d{2}$""),VALUE(E119),0),IF(REGEXMATCH(F119,""^\d{1,2},\d{2}$""),VALUE(F119),0),IF(REGEXMATCH(G119,""^\d{1,2},\d{2}$""),VALUE(G119),0))"),0)</f>
        <v>0</v>
      </c>
      <c r="I119" s="21"/>
      <c r="J119" s="22"/>
    </row>
    <row r="120" spans="1:10" ht="13.2" x14ac:dyDescent="0.25">
      <c r="A120" s="17"/>
      <c r="B120" s="28">
        <v>4</v>
      </c>
      <c r="C120" s="29"/>
      <c r="D120" s="30"/>
      <c r="E120" s="60"/>
      <c r="F120" s="60"/>
      <c r="G120" s="60"/>
      <c r="H120" s="61">
        <f ca="1">IFERROR(__xludf.DUMMYFUNCTION("MAX(IF(REGEXMATCH(E120,""^\d{1,2},\d{2}$""),VALUE(E120),0),IF(REGEXMATCH(F120,""^\d{1,2},\d{2}$""),VALUE(F120),0),IF(REGEXMATCH(G120,""^\d{1,2},\d{2}$""),VALUE(G120),0))"),0)</f>
        <v>0</v>
      </c>
      <c r="I120" s="21"/>
      <c r="J120" s="22"/>
    </row>
    <row r="121" spans="1:10" ht="13.2" x14ac:dyDescent="0.25">
      <c r="A121" s="17"/>
      <c r="B121" s="28">
        <v>5</v>
      </c>
      <c r="C121" s="29"/>
      <c r="D121" s="30"/>
      <c r="E121" s="60"/>
      <c r="F121" s="60"/>
      <c r="G121" s="60"/>
      <c r="H121" s="61">
        <f ca="1">IFERROR(__xludf.DUMMYFUNCTION("MAX(IF(REGEXMATCH(E121,""^\d{1,2},\d{2}$""),VALUE(E121),0),IF(REGEXMATCH(F121,""^\d{1,2},\d{2}$""),VALUE(F121),0),IF(REGEXMATCH(G121,""^\d{1,2},\d{2}$""),VALUE(G121),0))"),0)</f>
        <v>0</v>
      </c>
      <c r="I121" s="21"/>
      <c r="J121" s="22"/>
    </row>
    <row r="122" spans="1:10" ht="13.2" x14ac:dyDescent="0.25">
      <c r="A122" s="17"/>
      <c r="B122" s="62" t="s">
        <v>18</v>
      </c>
      <c r="C122" s="36"/>
      <c r="D122" s="44"/>
      <c r="E122" s="38"/>
      <c r="F122" s="38"/>
      <c r="G122" s="38"/>
      <c r="H122" s="63"/>
      <c r="I122" s="21"/>
      <c r="J122" s="22"/>
    </row>
    <row r="123" spans="1:10" ht="13.2" x14ac:dyDescent="0.25">
      <c r="A123" s="17"/>
      <c r="B123" s="17"/>
      <c r="D123" s="18"/>
      <c r="E123" s="18"/>
      <c r="F123" s="18"/>
      <c r="G123" s="18"/>
      <c r="H123" s="58"/>
      <c r="I123" s="21"/>
      <c r="J123" s="22"/>
    </row>
    <row r="124" spans="1:10" ht="15.6" x14ac:dyDescent="0.25">
      <c r="A124" s="23">
        <v>16</v>
      </c>
      <c r="B124" s="97"/>
      <c r="C124" s="98"/>
      <c r="D124" s="98"/>
      <c r="E124" s="98"/>
      <c r="F124" s="98"/>
      <c r="G124" s="98"/>
      <c r="H124" s="59"/>
      <c r="I124" s="25">
        <f ca="1">IF(COUNTIFS(H125:H129,"&gt;0") &gt; 3, FLOOR((SUM(H125:H129)-MIN(H125,H126,H127,H128,H129))/4,0.0001), )</f>
        <v>0</v>
      </c>
      <c r="J124" s="26" t="str">
        <f ca="1">IF(I124=0,"",RANK(I124,$I$4:$I$224,))</f>
        <v/>
      </c>
    </row>
    <row r="125" spans="1:10" ht="13.2" x14ac:dyDescent="0.25">
      <c r="A125" s="17"/>
      <c r="B125" s="28">
        <v>1</v>
      </c>
      <c r="C125" s="29"/>
      <c r="D125" s="30"/>
      <c r="E125" s="60"/>
      <c r="F125" s="60"/>
      <c r="G125" s="60"/>
      <c r="H125" s="61">
        <f ca="1">IFERROR(__xludf.DUMMYFUNCTION("MAX(IF(REGEXMATCH(E125,""^\d{1,2},\d{2}$""),VALUE(E125),0),IF(REGEXMATCH(F125,""^\d{1,2},\d{2}$""),VALUE(F125),0),IF(REGEXMATCH(G125,""^\d{1,2},\d{2}$""),VALUE(G125),0))"),0)</f>
        <v>0</v>
      </c>
      <c r="I125" s="21"/>
      <c r="J125" s="22"/>
    </row>
    <row r="126" spans="1:10" ht="13.2" x14ac:dyDescent="0.25">
      <c r="A126" s="17"/>
      <c r="B126" s="28">
        <v>2</v>
      </c>
      <c r="C126" s="29"/>
      <c r="D126" s="30"/>
      <c r="E126" s="60"/>
      <c r="F126" s="60"/>
      <c r="G126" s="60"/>
      <c r="H126" s="61">
        <f ca="1">IFERROR(__xludf.DUMMYFUNCTION("MAX(IF(REGEXMATCH(E126,""^\d{1,2},\d{2}$""),VALUE(E126),0),IF(REGEXMATCH(F126,""^\d{1,2},\d{2}$""),VALUE(F126),0),IF(REGEXMATCH(G126,""^\d{1,2},\d{2}$""),VALUE(G126),0))"),0)</f>
        <v>0</v>
      </c>
      <c r="I126" s="21"/>
      <c r="J126" s="22"/>
    </row>
    <row r="127" spans="1:10" ht="13.2" x14ac:dyDescent="0.25">
      <c r="A127" s="17"/>
      <c r="B127" s="28">
        <v>3</v>
      </c>
      <c r="C127" s="29"/>
      <c r="D127" s="30"/>
      <c r="E127" s="60"/>
      <c r="F127" s="60"/>
      <c r="G127" s="60"/>
      <c r="H127" s="61">
        <f ca="1">IFERROR(__xludf.DUMMYFUNCTION("MAX(IF(REGEXMATCH(E127,""^\d{1,2},\d{2}$""),VALUE(E127),0),IF(REGEXMATCH(F127,""^\d{1,2},\d{2}$""),VALUE(F127),0),IF(REGEXMATCH(G127,""^\d{1,2},\d{2}$""),VALUE(G127),0))"),0)</f>
        <v>0</v>
      </c>
      <c r="I127" s="21"/>
      <c r="J127" s="22"/>
    </row>
    <row r="128" spans="1:10" ht="13.2" x14ac:dyDescent="0.25">
      <c r="A128" s="17"/>
      <c r="B128" s="28">
        <v>4</v>
      </c>
      <c r="C128" s="29"/>
      <c r="D128" s="30"/>
      <c r="E128" s="60"/>
      <c r="F128" s="60"/>
      <c r="G128" s="60"/>
      <c r="H128" s="61">
        <f ca="1">IFERROR(__xludf.DUMMYFUNCTION("MAX(IF(REGEXMATCH(E128,""^\d{1,2},\d{2}$""),VALUE(E128),0),IF(REGEXMATCH(F128,""^\d{1,2},\d{2}$""),VALUE(F128),0),IF(REGEXMATCH(G128,""^\d{1,2},\d{2}$""),VALUE(G128),0))"),0)</f>
        <v>0</v>
      </c>
      <c r="I128" s="21"/>
      <c r="J128" s="22"/>
    </row>
    <row r="129" spans="1:10" ht="13.2" x14ac:dyDescent="0.25">
      <c r="A129" s="17"/>
      <c r="B129" s="28">
        <v>5</v>
      </c>
      <c r="C129" s="29"/>
      <c r="D129" s="30"/>
      <c r="E129" s="60"/>
      <c r="F129" s="60"/>
      <c r="G129" s="60"/>
      <c r="H129" s="61">
        <f ca="1">IFERROR(__xludf.DUMMYFUNCTION("MAX(IF(REGEXMATCH(E129,""^\d{1,2},\d{2}$""),VALUE(E129),0),IF(REGEXMATCH(F129,""^\d{1,2},\d{2}$""),VALUE(F129),0),IF(REGEXMATCH(G129,""^\d{1,2},\d{2}$""),VALUE(G129),0))"),0)</f>
        <v>0</v>
      </c>
      <c r="I129" s="21"/>
      <c r="J129" s="22"/>
    </row>
    <row r="130" spans="1:10" ht="13.2" x14ac:dyDescent="0.25">
      <c r="A130" s="17"/>
      <c r="B130" s="62" t="s">
        <v>18</v>
      </c>
      <c r="C130" s="36"/>
      <c r="D130" s="44"/>
      <c r="E130" s="38"/>
      <c r="F130" s="38"/>
      <c r="G130" s="38"/>
      <c r="H130" s="63"/>
      <c r="I130" s="21"/>
      <c r="J130" s="22"/>
    </row>
    <row r="131" spans="1:10" ht="13.2" x14ac:dyDescent="0.25">
      <c r="A131" s="17"/>
      <c r="B131" s="17"/>
      <c r="D131" s="18"/>
      <c r="E131" s="18"/>
      <c r="F131" s="18"/>
      <c r="G131" s="18"/>
      <c r="H131" s="58"/>
      <c r="I131" s="21"/>
      <c r="J131" s="22"/>
    </row>
    <row r="132" spans="1:10" ht="15.6" x14ac:dyDescent="0.25">
      <c r="A132" s="23">
        <v>17</v>
      </c>
      <c r="B132" s="97"/>
      <c r="C132" s="98"/>
      <c r="D132" s="98"/>
      <c r="E132" s="98"/>
      <c r="F132" s="98"/>
      <c r="G132" s="98"/>
      <c r="H132" s="59"/>
      <c r="I132" s="25">
        <f ca="1">IF(COUNTIFS(H133:H137,"&gt;0") &gt; 3, FLOOR((SUM(H133:H137)-MIN(H133,H134,H135,H136,H137))/4,0.0001), )</f>
        <v>0</v>
      </c>
      <c r="J132" s="26" t="str">
        <f ca="1">IF(I132=0,"",RANK(I132,$I$4:$I$224,))</f>
        <v/>
      </c>
    </row>
    <row r="133" spans="1:10" ht="13.2" x14ac:dyDescent="0.25">
      <c r="A133" s="17"/>
      <c r="B133" s="28">
        <v>1</v>
      </c>
      <c r="C133" s="29"/>
      <c r="D133" s="30"/>
      <c r="E133" s="60"/>
      <c r="F133" s="60"/>
      <c r="G133" s="60"/>
      <c r="H133" s="61">
        <f ca="1">IFERROR(__xludf.DUMMYFUNCTION("MAX(IF(REGEXMATCH(E133,""^\d{1,2},\d{2}$""),VALUE(E133),0),IF(REGEXMATCH(F133,""^\d{1,2},\d{2}$""),VALUE(F133),0),IF(REGEXMATCH(G133,""^\d{1,2},\d{2}$""),VALUE(G133),0))"),0)</f>
        <v>0</v>
      </c>
      <c r="I133" s="21"/>
      <c r="J133" s="22"/>
    </row>
    <row r="134" spans="1:10" ht="13.2" x14ac:dyDescent="0.25">
      <c r="A134" s="17"/>
      <c r="B134" s="28">
        <v>2</v>
      </c>
      <c r="C134" s="29"/>
      <c r="D134" s="30"/>
      <c r="E134" s="60"/>
      <c r="F134" s="60"/>
      <c r="G134" s="60"/>
      <c r="H134" s="61">
        <f ca="1">IFERROR(__xludf.DUMMYFUNCTION("MAX(IF(REGEXMATCH(E134,""^\d{1,2},\d{2}$""),VALUE(E134),0),IF(REGEXMATCH(F134,""^\d{1,2},\d{2}$""),VALUE(F134),0),IF(REGEXMATCH(G134,""^\d{1,2},\d{2}$""),VALUE(G134),0))"),0)</f>
        <v>0</v>
      </c>
      <c r="I134" s="21"/>
      <c r="J134" s="22"/>
    </row>
    <row r="135" spans="1:10" ht="13.2" x14ac:dyDescent="0.25">
      <c r="A135" s="17"/>
      <c r="B135" s="28">
        <v>3</v>
      </c>
      <c r="C135" s="29"/>
      <c r="D135" s="30"/>
      <c r="E135" s="60"/>
      <c r="F135" s="60"/>
      <c r="G135" s="60"/>
      <c r="H135" s="61">
        <f ca="1">IFERROR(__xludf.DUMMYFUNCTION("MAX(IF(REGEXMATCH(E135,""^\d{1,2},\d{2}$""),VALUE(E135),0),IF(REGEXMATCH(F135,""^\d{1,2},\d{2}$""),VALUE(F135),0),IF(REGEXMATCH(G135,""^\d{1,2},\d{2}$""),VALUE(G135),0))"),0)</f>
        <v>0</v>
      </c>
      <c r="I135" s="21"/>
      <c r="J135" s="22"/>
    </row>
    <row r="136" spans="1:10" ht="13.2" x14ac:dyDescent="0.25">
      <c r="A136" s="17"/>
      <c r="B136" s="28">
        <v>4</v>
      </c>
      <c r="C136" s="29"/>
      <c r="D136" s="30"/>
      <c r="E136" s="60"/>
      <c r="F136" s="60"/>
      <c r="G136" s="60"/>
      <c r="H136" s="61">
        <f ca="1">IFERROR(__xludf.DUMMYFUNCTION("MAX(IF(REGEXMATCH(E136,""^\d{1,2},\d{2}$""),VALUE(E136),0),IF(REGEXMATCH(F136,""^\d{1,2},\d{2}$""),VALUE(F136),0),IF(REGEXMATCH(G136,""^\d{1,2},\d{2}$""),VALUE(G136),0))"),0)</f>
        <v>0</v>
      </c>
      <c r="I136" s="21"/>
      <c r="J136" s="22"/>
    </row>
    <row r="137" spans="1:10" ht="13.2" x14ac:dyDescent="0.25">
      <c r="A137" s="17"/>
      <c r="B137" s="28">
        <v>5</v>
      </c>
      <c r="C137" s="29"/>
      <c r="D137" s="30"/>
      <c r="E137" s="60"/>
      <c r="F137" s="60"/>
      <c r="G137" s="60"/>
      <c r="H137" s="61">
        <f ca="1">IFERROR(__xludf.DUMMYFUNCTION("MAX(IF(REGEXMATCH(E137,""^\d{1,2},\d{2}$""),VALUE(E137),0),IF(REGEXMATCH(F137,""^\d{1,2},\d{2}$""),VALUE(F137),0),IF(REGEXMATCH(G137,""^\d{1,2},\d{2}$""),VALUE(G137),0))"),0)</f>
        <v>0</v>
      </c>
      <c r="I137" s="21"/>
      <c r="J137" s="22"/>
    </row>
    <row r="138" spans="1:10" ht="13.2" x14ac:dyDescent="0.25">
      <c r="A138" s="17"/>
      <c r="B138" s="62" t="s">
        <v>18</v>
      </c>
      <c r="C138" s="36"/>
      <c r="D138" s="44"/>
      <c r="E138" s="38"/>
      <c r="F138" s="38"/>
      <c r="G138" s="38"/>
      <c r="H138" s="63"/>
      <c r="I138" s="21"/>
      <c r="J138" s="22"/>
    </row>
    <row r="139" spans="1:10" ht="13.2" x14ac:dyDescent="0.25">
      <c r="A139" s="17"/>
      <c r="B139" s="17"/>
      <c r="D139" s="18"/>
      <c r="E139" s="18"/>
      <c r="F139" s="18"/>
      <c r="G139" s="18"/>
      <c r="H139" s="58"/>
      <c r="I139" s="21"/>
      <c r="J139" s="22"/>
    </row>
    <row r="140" spans="1:10" ht="15.6" x14ac:dyDescent="0.25">
      <c r="A140" s="23">
        <v>18</v>
      </c>
      <c r="B140" s="97"/>
      <c r="C140" s="98"/>
      <c r="D140" s="98"/>
      <c r="E140" s="98"/>
      <c r="F140" s="98"/>
      <c r="G140" s="98"/>
      <c r="H140" s="59"/>
      <c r="I140" s="25">
        <f ca="1">IF(COUNTIFS(H141:H145,"&gt;0") &gt; 3, FLOOR((SUM(H141:H145)-MIN(H141,H142,H143,H144,H145))/4,0.0001), )</f>
        <v>0</v>
      </c>
      <c r="J140" s="26" t="str">
        <f ca="1">IF(I140=0,"",RANK(I140,$I$4:$I$224,))</f>
        <v/>
      </c>
    </row>
    <row r="141" spans="1:10" ht="13.2" x14ac:dyDescent="0.25">
      <c r="A141" s="17"/>
      <c r="B141" s="28">
        <v>1</v>
      </c>
      <c r="C141" s="29"/>
      <c r="D141" s="30"/>
      <c r="E141" s="60"/>
      <c r="F141" s="60"/>
      <c r="G141" s="60"/>
      <c r="H141" s="61">
        <f ca="1">IFERROR(__xludf.DUMMYFUNCTION("MAX(IF(REGEXMATCH(E141,""^\d{1,2},\d{2}$""),VALUE(E141),0),IF(REGEXMATCH(F141,""^\d{1,2},\d{2}$""),VALUE(F141),0),IF(REGEXMATCH(G141,""^\d{1,2},\d{2}$""),VALUE(G141),0))"),0)</f>
        <v>0</v>
      </c>
      <c r="I141" s="21"/>
      <c r="J141" s="22"/>
    </row>
    <row r="142" spans="1:10" ht="13.2" x14ac:dyDescent="0.25">
      <c r="A142" s="17"/>
      <c r="B142" s="28">
        <v>2</v>
      </c>
      <c r="C142" s="29"/>
      <c r="D142" s="30"/>
      <c r="E142" s="60"/>
      <c r="F142" s="60"/>
      <c r="G142" s="60"/>
      <c r="H142" s="61">
        <f ca="1">IFERROR(__xludf.DUMMYFUNCTION("MAX(IF(REGEXMATCH(E142,""^\d{1,2},\d{2}$""),VALUE(E142),0),IF(REGEXMATCH(F142,""^\d{1,2},\d{2}$""),VALUE(F142),0),IF(REGEXMATCH(G142,""^\d{1,2},\d{2}$""),VALUE(G142),0))"),0)</f>
        <v>0</v>
      </c>
      <c r="I142" s="21"/>
      <c r="J142" s="22"/>
    </row>
    <row r="143" spans="1:10" ht="13.2" x14ac:dyDescent="0.25">
      <c r="A143" s="17"/>
      <c r="B143" s="28">
        <v>3</v>
      </c>
      <c r="C143" s="29"/>
      <c r="D143" s="30"/>
      <c r="E143" s="60"/>
      <c r="F143" s="60"/>
      <c r="G143" s="60"/>
      <c r="H143" s="61">
        <f ca="1">IFERROR(__xludf.DUMMYFUNCTION("MAX(IF(REGEXMATCH(E143,""^\d{1,2},\d{2}$""),VALUE(E143),0),IF(REGEXMATCH(F143,""^\d{1,2},\d{2}$""),VALUE(F143),0),IF(REGEXMATCH(G143,""^\d{1,2},\d{2}$""),VALUE(G143),0))"),0)</f>
        <v>0</v>
      </c>
      <c r="I143" s="21"/>
      <c r="J143" s="22"/>
    </row>
    <row r="144" spans="1:10" ht="13.2" x14ac:dyDescent="0.25">
      <c r="A144" s="17"/>
      <c r="B144" s="28">
        <v>4</v>
      </c>
      <c r="C144" s="29"/>
      <c r="D144" s="30"/>
      <c r="E144" s="60"/>
      <c r="F144" s="60"/>
      <c r="G144" s="60"/>
      <c r="H144" s="61">
        <f ca="1">IFERROR(__xludf.DUMMYFUNCTION("MAX(IF(REGEXMATCH(E144,""^\d{1,2},\d{2}$""),VALUE(E144),0),IF(REGEXMATCH(F144,""^\d{1,2},\d{2}$""),VALUE(F144),0),IF(REGEXMATCH(G144,""^\d{1,2},\d{2}$""),VALUE(G144),0))"),0)</f>
        <v>0</v>
      </c>
      <c r="I144" s="21"/>
      <c r="J144" s="22"/>
    </row>
    <row r="145" spans="1:10" ht="13.2" x14ac:dyDescent="0.25">
      <c r="A145" s="17"/>
      <c r="B145" s="28">
        <v>5</v>
      </c>
      <c r="C145" s="29"/>
      <c r="D145" s="30"/>
      <c r="E145" s="60"/>
      <c r="F145" s="60"/>
      <c r="G145" s="60"/>
      <c r="H145" s="61">
        <f ca="1">IFERROR(__xludf.DUMMYFUNCTION("MAX(IF(REGEXMATCH(E145,""^\d{1,2},\d{2}$""),VALUE(E145),0),IF(REGEXMATCH(F145,""^\d{1,2},\d{2}$""),VALUE(F145),0),IF(REGEXMATCH(G145,""^\d{1,2},\d{2}$""),VALUE(G145),0))"),0)</f>
        <v>0</v>
      </c>
      <c r="I145" s="21"/>
      <c r="J145" s="22"/>
    </row>
    <row r="146" spans="1:10" ht="13.2" x14ac:dyDescent="0.25">
      <c r="A146" s="17"/>
      <c r="B146" s="62" t="s">
        <v>18</v>
      </c>
      <c r="C146" s="36"/>
      <c r="D146" s="44"/>
      <c r="E146" s="38"/>
      <c r="F146" s="38"/>
      <c r="G146" s="38"/>
      <c r="H146" s="63"/>
      <c r="I146" s="21"/>
      <c r="J146" s="22"/>
    </row>
    <row r="147" spans="1:10" ht="13.2" x14ac:dyDescent="0.25">
      <c r="A147" s="17"/>
      <c r="B147" s="17"/>
      <c r="D147" s="18"/>
      <c r="E147" s="18"/>
      <c r="F147" s="18"/>
      <c r="G147" s="18"/>
      <c r="H147" s="58"/>
      <c r="I147" s="21"/>
      <c r="J147" s="22"/>
    </row>
    <row r="148" spans="1:10" ht="15.6" x14ac:dyDescent="0.25">
      <c r="A148" s="23">
        <v>19</v>
      </c>
      <c r="B148" s="97"/>
      <c r="C148" s="98"/>
      <c r="D148" s="98"/>
      <c r="E148" s="98"/>
      <c r="F148" s="98"/>
      <c r="G148" s="98"/>
      <c r="H148" s="99"/>
      <c r="I148" s="25">
        <f ca="1">IF(COUNTIFS(H149:H153,"&gt;0") &gt; 3, FLOOR((SUM(H149:H153)-MIN(H149,H150,H151,H152,H153))/4,0.0001), )</f>
        <v>0</v>
      </c>
      <c r="J148" s="26" t="str">
        <f ca="1">IF(I148=0,"",RANK(I148,$I$4:$I$224,))</f>
        <v/>
      </c>
    </row>
    <row r="149" spans="1:10" ht="13.2" x14ac:dyDescent="0.25">
      <c r="A149" s="17"/>
      <c r="B149" s="28">
        <v>1</v>
      </c>
      <c r="C149" s="29"/>
      <c r="D149" s="30"/>
      <c r="E149" s="60"/>
      <c r="F149" s="60"/>
      <c r="G149" s="60"/>
      <c r="H149" s="61">
        <f ca="1">IFERROR(__xludf.DUMMYFUNCTION("MAX(IF(REGEXMATCH(E149,""^\d{1,2},\d{2}$""),VALUE(E149),0),IF(REGEXMATCH(F149,""^\d{1,2},\d{2}$""),VALUE(F149),0),IF(REGEXMATCH(G149,""^\d{1,2},\d{2}$""),VALUE(G149),0))"),0)</f>
        <v>0</v>
      </c>
      <c r="I149" s="21"/>
      <c r="J149" s="22"/>
    </row>
    <row r="150" spans="1:10" ht="13.2" x14ac:dyDescent="0.25">
      <c r="A150" s="17"/>
      <c r="B150" s="28">
        <v>2</v>
      </c>
      <c r="C150" s="29"/>
      <c r="D150" s="30"/>
      <c r="E150" s="60"/>
      <c r="F150" s="60"/>
      <c r="G150" s="60"/>
      <c r="H150" s="61">
        <f ca="1">IFERROR(__xludf.DUMMYFUNCTION("MAX(IF(REGEXMATCH(E150,""^\d{1,2},\d{2}$""),VALUE(E150),0),IF(REGEXMATCH(F150,""^\d{1,2},\d{2}$""),VALUE(F150),0),IF(REGEXMATCH(G150,""^\d{1,2},\d{2}$""),VALUE(G150),0))"),0)</f>
        <v>0</v>
      </c>
      <c r="I150" s="21"/>
      <c r="J150" s="22"/>
    </row>
    <row r="151" spans="1:10" ht="13.2" x14ac:dyDescent="0.25">
      <c r="A151" s="17"/>
      <c r="B151" s="28">
        <v>3</v>
      </c>
      <c r="C151" s="29"/>
      <c r="D151" s="30"/>
      <c r="E151" s="60"/>
      <c r="F151" s="60"/>
      <c r="G151" s="60"/>
      <c r="H151" s="61">
        <f ca="1">IFERROR(__xludf.DUMMYFUNCTION("MAX(IF(REGEXMATCH(E151,""^\d{1,2},\d{2}$""),VALUE(E151),0),IF(REGEXMATCH(F151,""^\d{1,2},\d{2}$""),VALUE(F151),0),IF(REGEXMATCH(G151,""^\d{1,2},\d{2}$""),VALUE(G151),0))"),0)</f>
        <v>0</v>
      </c>
      <c r="I151" s="21"/>
      <c r="J151" s="22"/>
    </row>
    <row r="152" spans="1:10" ht="13.2" x14ac:dyDescent="0.25">
      <c r="A152" s="17"/>
      <c r="B152" s="28">
        <v>4</v>
      </c>
      <c r="C152" s="29"/>
      <c r="D152" s="30"/>
      <c r="E152" s="60"/>
      <c r="F152" s="60"/>
      <c r="G152" s="60"/>
      <c r="H152" s="61">
        <f ca="1">IFERROR(__xludf.DUMMYFUNCTION("MAX(IF(REGEXMATCH(E152,""^\d{1,2},\d{2}$""),VALUE(E152),0),IF(REGEXMATCH(F152,""^\d{1,2},\d{2}$""),VALUE(F152),0),IF(REGEXMATCH(G152,""^\d{1,2},\d{2}$""),VALUE(G152),0))"),0)</f>
        <v>0</v>
      </c>
      <c r="I152" s="21"/>
      <c r="J152" s="22"/>
    </row>
    <row r="153" spans="1:10" ht="13.2" x14ac:dyDescent="0.25">
      <c r="A153" s="17"/>
      <c r="B153" s="28">
        <v>5</v>
      </c>
      <c r="C153" s="29"/>
      <c r="D153" s="30"/>
      <c r="E153" s="60"/>
      <c r="F153" s="60"/>
      <c r="G153" s="60"/>
      <c r="H153" s="61">
        <f ca="1">IFERROR(__xludf.DUMMYFUNCTION("MAX(IF(REGEXMATCH(E153,""^\d{1,2},\d{2}$""),VALUE(E153),0),IF(REGEXMATCH(F153,""^\d{1,2},\d{2}$""),VALUE(F153),0),IF(REGEXMATCH(G153,""^\d{1,2},\d{2}$""),VALUE(G153),0))"),0)</f>
        <v>0</v>
      </c>
      <c r="I153" s="21"/>
      <c r="J153" s="22"/>
    </row>
    <row r="154" spans="1:10" ht="13.2" x14ac:dyDescent="0.25">
      <c r="A154" s="17"/>
      <c r="B154" s="62" t="s">
        <v>18</v>
      </c>
      <c r="C154" s="36"/>
      <c r="D154" s="44"/>
      <c r="E154" s="38"/>
      <c r="F154" s="38"/>
      <c r="G154" s="38"/>
      <c r="H154" s="63"/>
      <c r="I154" s="21"/>
      <c r="J154" s="22"/>
    </row>
    <row r="155" spans="1:10" ht="13.2" x14ac:dyDescent="0.25">
      <c r="A155" s="17"/>
      <c r="B155" s="17"/>
      <c r="D155" s="18"/>
      <c r="E155" s="18"/>
      <c r="F155" s="18"/>
      <c r="G155" s="18"/>
      <c r="H155" s="58"/>
      <c r="I155" s="21"/>
      <c r="J155" s="22"/>
    </row>
    <row r="156" spans="1:10" ht="15.6" x14ac:dyDescent="0.25">
      <c r="A156" s="23">
        <v>20</v>
      </c>
      <c r="B156" s="97"/>
      <c r="C156" s="98"/>
      <c r="D156" s="98"/>
      <c r="E156" s="98"/>
      <c r="F156" s="98"/>
      <c r="G156" s="98"/>
      <c r="H156" s="59"/>
      <c r="I156" s="25">
        <f ca="1">IF(COUNTIFS(H157:H161,"&gt;0") &gt; 3, FLOOR((SUM(H157:H161)-MIN(H157,H158,H159,H160,H161))/4,0.0001), )</f>
        <v>0</v>
      </c>
      <c r="J156" s="26" t="str">
        <f ca="1">IF(I156=0,"",RANK(I156,$I$4:$I$224,))</f>
        <v/>
      </c>
    </row>
    <row r="157" spans="1:10" ht="13.2" x14ac:dyDescent="0.25">
      <c r="A157" s="17"/>
      <c r="B157" s="28">
        <v>1</v>
      </c>
      <c r="C157" s="29"/>
      <c r="D157" s="30"/>
      <c r="E157" s="60"/>
      <c r="F157" s="60"/>
      <c r="G157" s="60"/>
      <c r="H157" s="61">
        <f ca="1">IFERROR(__xludf.DUMMYFUNCTION("MAX(IF(REGEXMATCH(E157,""^\d{1,2},\d{2}$""),VALUE(E157),0),IF(REGEXMATCH(F157,""^\d{1,2},\d{2}$""),VALUE(F157),0),IF(REGEXMATCH(G157,""^\d{1,2},\d{2}$""),VALUE(G157),0))"),0)</f>
        <v>0</v>
      </c>
      <c r="I157" s="21"/>
      <c r="J157" s="22"/>
    </row>
    <row r="158" spans="1:10" ht="13.2" x14ac:dyDescent="0.25">
      <c r="A158" s="17"/>
      <c r="B158" s="28">
        <v>2</v>
      </c>
      <c r="C158" s="29"/>
      <c r="D158" s="30"/>
      <c r="E158" s="60"/>
      <c r="F158" s="60"/>
      <c r="G158" s="60"/>
      <c r="H158" s="61">
        <f ca="1">IFERROR(__xludf.DUMMYFUNCTION("MAX(IF(REGEXMATCH(E158,""^\d{1,2},\d{2}$""),VALUE(E158),0),IF(REGEXMATCH(F158,""^\d{1,2},\d{2}$""),VALUE(F158),0),IF(REGEXMATCH(G158,""^\d{1,2},\d{2}$""),VALUE(G158),0))"),0)</f>
        <v>0</v>
      </c>
      <c r="I158" s="21"/>
      <c r="J158" s="22"/>
    </row>
    <row r="159" spans="1:10" ht="13.2" x14ac:dyDescent="0.25">
      <c r="A159" s="17"/>
      <c r="B159" s="28">
        <v>3</v>
      </c>
      <c r="C159" s="29"/>
      <c r="D159" s="30"/>
      <c r="E159" s="60"/>
      <c r="F159" s="60"/>
      <c r="G159" s="60"/>
      <c r="H159" s="61">
        <f ca="1">IFERROR(__xludf.DUMMYFUNCTION("MAX(IF(REGEXMATCH(E159,""^\d{1,2},\d{2}$""),VALUE(E159),0),IF(REGEXMATCH(F159,""^\d{1,2},\d{2}$""),VALUE(F159),0),IF(REGEXMATCH(G159,""^\d{1,2},\d{2}$""),VALUE(G159),0))"),0)</f>
        <v>0</v>
      </c>
      <c r="I159" s="21"/>
      <c r="J159" s="22"/>
    </row>
    <row r="160" spans="1:10" ht="13.2" x14ac:dyDescent="0.25">
      <c r="A160" s="17"/>
      <c r="B160" s="28">
        <v>4</v>
      </c>
      <c r="C160" s="29"/>
      <c r="D160" s="30"/>
      <c r="E160" s="60"/>
      <c r="F160" s="60"/>
      <c r="G160" s="60"/>
      <c r="H160" s="61">
        <f ca="1">IFERROR(__xludf.DUMMYFUNCTION("MAX(IF(REGEXMATCH(E160,""^\d{1,2},\d{2}$""),VALUE(E160),0),IF(REGEXMATCH(F160,""^\d{1,2},\d{2}$""),VALUE(F160),0),IF(REGEXMATCH(G160,""^\d{1,2},\d{2}$""),VALUE(G160),0))"),0)</f>
        <v>0</v>
      </c>
      <c r="I160" s="21"/>
      <c r="J160" s="22"/>
    </row>
    <row r="161" spans="1:10" ht="13.2" x14ac:dyDescent="0.25">
      <c r="A161" s="17"/>
      <c r="B161" s="28">
        <v>5</v>
      </c>
      <c r="C161" s="29"/>
      <c r="D161" s="30"/>
      <c r="E161" s="60"/>
      <c r="F161" s="60"/>
      <c r="G161" s="60"/>
      <c r="H161" s="61">
        <f ca="1">IFERROR(__xludf.DUMMYFUNCTION("MAX(IF(REGEXMATCH(E161,""^\d{1,2},\d{2}$""),VALUE(E161),0),IF(REGEXMATCH(F161,""^\d{1,2},\d{2}$""),VALUE(F161),0),IF(REGEXMATCH(G161,""^\d{1,2},\d{2}$""),VALUE(G161),0))"),0)</f>
        <v>0</v>
      </c>
      <c r="I161" s="21"/>
      <c r="J161" s="22"/>
    </row>
    <row r="162" spans="1:10" ht="13.2" x14ac:dyDescent="0.25">
      <c r="A162" s="17"/>
      <c r="B162" s="62" t="s">
        <v>18</v>
      </c>
      <c r="C162" s="36"/>
      <c r="D162" s="44"/>
      <c r="E162" s="38"/>
      <c r="F162" s="38"/>
      <c r="G162" s="38"/>
      <c r="H162" s="63"/>
      <c r="I162" s="21"/>
      <c r="J162" s="22"/>
    </row>
    <row r="163" spans="1:10" ht="13.2" x14ac:dyDescent="0.25">
      <c r="A163" s="17"/>
      <c r="B163" s="17"/>
      <c r="D163" s="18"/>
      <c r="E163" s="18"/>
      <c r="F163" s="18"/>
      <c r="G163" s="18"/>
      <c r="H163" s="58"/>
      <c r="I163" s="21"/>
      <c r="J163" s="22"/>
    </row>
    <row r="164" spans="1:10" ht="15.6" x14ac:dyDescent="0.25">
      <c r="A164" s="23">
        <v>21</v>
      </c>
      <c r="B164" s="97"/>
      <c r="C164" s="98"/>
      <c r="D164" s="98"/>
      <c r="E164" s="98"/>
      <c r="F164" s="98"/>
      <c r="G164" s="98"/>
      <c r="H164" s="59"/>
      <c r="I164" s="25">
        <f ca="1">IF(COUNTIFS(H165:H169,"&gt;0") &gt; 3, FLOOR((SUM(H165:H169)-MIN(H165,H166,H167,H168,H169))/4,0.0001), )</f>
        <v>0</v>
      </c>
      <c r="J164" s="26" t="str">
        <f ca="1">IF(I164=0,"",RANK(I164,$I$4:$I$224,))</f>
        <v/>
      </c>
    </row>
    <row r="165" spans="1:10" ht="13.2" x14ac:dyDescent="0.25">
      <c r="A165" s="17"/>
      <c r="B165" s="28">
        <v>1</v>
      </c>
      <c r="C165" s="29"/>
      <c r="D165" s="30"/>
      <c r="E165" s="60"/>
      <c r="F165" s="60"/>
      <c r="G165" s="60"/>
      <c r="H165" s="61">
        <f ca="1">IFERROR(__xludf.DUMMYFUNCTION("MAX(IF(REGEXMATCH(E165,""^\d{1,2},\d{2}$""),VALUE(E165),0),IF(REGEXMATCH(F165,""^\d{1,2},\d{2}$""),VALUE(F165),0),IF(REGEXMATCH(G165,""^\d{1,2},\d{2}$""),VALUE(G165),0))"),0)</f>
        <v>0</v>
      </c>
      <c r="I165" s="21"/>
      <c r="J165" s="22"/>
    </row>
    <row r="166" spans="1:10" ht="13.2" x14ac:dyDescent="0.25">
      <c r="A166" s="17"/>
      <c r="B166" s="28">
        <v>2</v>
      </c>
      <c r="C166" s="29"/>
      <c r="D166" s="30"/>
      <c r="E166" s="60"/>
      <c r="F166" s="60"/>
      <c r="G166" s="60"/>
      <c r="H166" s="61">
        <f ca="1">IFERROR(__xludf.DUMMYFUNCTION("MAX(IF(REGEXMATCH(E166,""^\d{1,2},\d{2}$""),VALUE(E166),0),IF(REGEXMATCH(F166,""^\d{1,2},\d{2}$""),VALUE(F166),0),IF(REGEXMATCH(G166,""^\d{1,2},\d{2}$""),VALUE(G166),0))"),0)</f>
        <v>0</v>
      </c>
      <c r="I166" s="21"/>
      <c r="J166" s="22"/>
    </row>
    <row r="167" spans="1:10" ht="13.2" x14ac:dyDescent="0.25">
      <c r="A167" s="17"/>
      <c r="B167" s="28">
        <v>3</v>
      </c>
      <c r="C167" s="29"/>
      <c r="D167" s="30"/>
      <c r="E167" s="60"/>
      <c r="F167" s="60"/>
      <c r="G167" s="60"/>
      <c r="H167" s="61">
        <f ca="1">IFERROR(__xludf.DUMMYFUNCTION("MAX(IF(REGEXMATCH(E167,""^\d{1,2},\d{2}$""),VALUE(E167),0),IF(REGEXMATCH(F167,""^\d{1,2},\d{2}$""),VALUE(F167),0),IF(REGEXMATCH(G167,""^\d{1,2},\d{2}$""),VALUE(G167),0))"),0)</f>
        <v>0</v>
      </c>
      <c r="I167" s="21"/>
      <c r="J167" s="22"/>
    </row>
    <row r="168" spans="1:10" ht="13.2" x14ac:dyDescent="0.25">
      <c r="A168" s="17"/>
      <c r="B168" s="28">
        <v>4</v>
      </c>
      <c r="C168" s="29"/>
      <c r="D168" s="30"/>
      <c r="E168" s="60"/>
      <c r="F168" s="60"/>
      <c r="G168" s="60"/>
      <c r="H168" s="61">
        <f ca="1">IFERROR(__xludf.DUMMYFUNCTION("MAX(IF(REGEXMATCH(E168,""^\d{1,2},\d{2}$""),VALUE(E168),0),IF(REGEXMATCH(F168,""^\d{1,2},\d{2}$""),VALUE(F168),0),IF(REGEXMATCH(G168,""^\d{1,2},\d{2}$""),VALUE(G168),0))"),0)</f>
        <v>0</v>
      </c>
      <c r="I168" s="21"/>
      <c r="J168" s="22"/>
    </row>
    <row r="169" spans="1:10" ht="13.2" x14ac:dyDescent="0.25">
      <c r="A169" s="17"/>
      <c r="B169" s="28">
        <v>5</v>
      </c>
      <c r="C169" s="29"/>
      <c r="D169" s="30"/>
      <c r="E169" s="60"/>
      <c r="F169" s="60"/>
      <c r="G169" s="60"/>
      <c r="H169" s="61">
        <f ca="1">IFERROR(__xludf.DUMMYFUNCTION("MAX(IF(REGEXMATCH(E169,""^\d{1,2},\d{2}$""),VALUE(E169),0),IF(REGEXMATCH(F169,""^\d{1,2},\d{2}$""),VALUE(F169),0),IF(REGEXMATCH(G169,""^\d{1,2},\d{2}$""),VALUE(G169),0))"),0)</f>
        <v>0</v>
      </c>
      <c r="I169" s="21"/>
      <c r="J169" s="22"/>
    </row>
    <row r="170" spans="1:10" ht="13.2" x14ac:dyDescent="0.25">
      <c r="A170" s="17"/>
      <c r="B170" s="62" t="s">
        <v>18</v>
      </c>
      <c r="C170" s="36"/>
      <c r="D170" s="44"/>
      <c r="E170" s="38"/>
      <c r="F170" s="38"/>
      <c r="G170" s="38"/>
      <c r="H170" s="63"/>
      <c r="I170" s="21"/>
      <c r="J170" s="22"/>
    </row>
    <row r="171" spans="1:10" ht="13.2" x14ac:dyDescent="0.25">
      <c r="A171" s="17"/>
      <c r="B171" s="17"/>
      <c r="D171" s="18"/>
      <c r="E171" s="18"/>
      <c r="F171" s="18"/>
      <c r="G171" s="18"/>
      <c r="H171" s="58"/>
      <c r="I171" s="21"/>
      <c r="J171" s="22"/>
    </row>
    <row r="172" spans="1:10" ht="15.6" x14ac:dyDescent="0.25">
      <c r="A172" s="46">
        <v>22</v>
      </c>
      <c r="B172" s="97"/>
      <c r="C172" s="98"/>
      <c r="D172" s="98"/>
      <c r="E172" s="98"/>
      <c r="F172" s="98"/>
      <c r="G172" s="98"/>
      <c r="H172" s="59"/>
      <c r="I172" s="25">
        <f ca="1">IF(COUNTIFS(H173:H177,"&gt;0") &gt; 3, FLOOR((SUM(H173:H177)-MIN(H173,H174,H175,H176,H177))/4,0.0001), )</f>
        <v>0</v>
      </c>
      <c r="J172" s="26" t="str">
        <f ca="1">IF(I172=0,"",RANK(I172,$I$4:$I$224,))</f>
        <v/>
      </c>
    </row>
    <row r="173" spans="1:10" ht="13.2" x14ac:dyDescent="0.25">
      <c r="A173" s="52"/>
      <c r="B173" s="48">
        <v>1</v>
      </c>
      <c r="C173" s="49"/>
      <c r="D173" s="50"/>
      <c r="E173" s="60"/>
      <c r="F173" s="60"/>
      <c r="G173" s="60"/>
      <c r="H173" s="61">
        <f ca="1">IFERROR(__xludf.DUMMYFUNCTION("MAX(IF(REGEXMATCH(E173,""^\d{1,2},\d{2}$""),VALUE(E173),0),IF(REGEXMATCH(F173,""^\d{1,2},\d{2}$""),VALUE(F173),0),IF(REGEXMATCH(G173,""^\d{1,2},\d{2}$""),VALUE(G173),0))"),0)</f>
        <v>0</v>
      </c>
      <c r="I173" s="51"/>
      <c r="J173" s="52"/>
    </row>
    <row r="174" spans="1:10" ht="13.2" x14ac:dyDescent="0.25">
      <c r="A174" s="52"/>
      <c r="B174" s="48">
        <v>2</v>
      </c>
      <c r="C174" s="49"/>
      <c r="D174" s="50"/>
      <c r="E174" s="60"/>
      <c r="F174" s="60"/>
      <c r="G174" s="60"/>
      <c r="H174" s="61">
        <f ca="1">IFERROR(__xludf.DUMMYFUNCTION("MAX(IF(REGEXMATCH(E174,""^\d{1,2},\d{2}$""),VALUE(E174),0),IF(REGEXMATCH(F174,""^\d{1,2},\d{2}$""),VALUE(F174),0),IF(REGEXMATCH(G174,""^\d{1,2},\d{2}$""),VALUE(G174),0))"),0)</f>
        <v>0</v>
      </c>
      <c r="I174" s="51"/>
      <c r="J174" s="52"/>
    </row>
    <row r="175" spans="1:10" ht="13.2" x14ac:dyDescent="0.25">
      <c r="A175" s="52"/>
      <c r="B175" s="48">
        <v>3</v>
      </c>
      <c r="C175" s="49"/>
      <c r="D175" s="50"/>
      <c r="E175" s="60"/>
      <c r="F175" s="60"/>
      <c r="G175" s="60"/>
      <c r="H175" s="61">
        <f ca="1">IFERROR(__xludf.DUMMYFUNCTION("MAX(IF(REGEXMATCH(E175,""^\d{1,2},\d{2}$""),VALUE(E175),0),IF(REGEXMATCH(F175,""^\d{1,2},\d{2}$""),VALUE(F175),0),IF(REGEXMATCH(G175,""^\d{1,2},\d{2}$""),VALUE(G175),0))"),0)</f>
        <v>0</v>
      </c>
      <c r="I175" s="51"/>
      <c r="J175" s="52"/>
    </row>
    <row r="176" spans="1:10" ht="13.2" x14ac:dyDescent="0.25">
      <c r="A176" s="52"/>
      <c r="B176" s="48">
        <v>4</v>
      </c>
      <c r="C176" s="49"/>
      <c r="D176" s="50"/>
      <c r="E176" s="60"/>
      <c r="F176" s="60"/>
      <c r="G176" s="60"/>
      <c r="H176" s="61">
        <f ca="1">IFERROR(__xludf.DUMMYFUNCTION("MAX(IF(REGEXMATCH(E176,""^\d{1,2},\d{2}$""),VALUE(E176),0),IF(REGEXMATCH(F176,""^\d{1,2},\d{2}$""),VALUE(F176),0),IF(REGEXMATCH(G176,""^\d{1,2},\d{2}$""),VALUE(G176),0))"),0)</f>
        <v>0</v>
      </c>
      <c r="I176" s="51"/>
      <c r="J176" s="52"/>
    </row>
    <row r="177" spans="1:10" ht="13.2" x14ac:dyDescent="0.25">
      <c r="A177" s="52"/>
      <c r="B177" s="48">
        <v>5</v>
      </c>
      <c r="C177" s="49"/>
      <c r="D177" s="50"/>
      <c r="E177" s="60"/>
      <c r="F177" s="60"/>
      <c r="G177" s="60"/>
      <c r="H177" s="61">
        <f ca="1">IFERROR(__xludf.DUMMYFUNCTION("MAX(IF(REGEXMATCH(E177,""^\d{1,2},\d{2}$""),VALUE(E177),0),IF(REGEXMATCH(F177,""^\d{1,2},\d{2}$""),VALUE(F177),0),IF(REGEXMATCH(G177,""^\d{1,2},\d{2}$""),VALUE(G177),0))"),0)</f>
        <v>0</v>
      </c>
      <c r="I177" s="51"/>
      <c r="J177" s="52"/>
    </row>
    <row r="178" spans="1:10" ht="13.2" x14ac:dyDescent="0.25">
      <c r="A178" s="52"/>
      <c r="B178" s="62" t="s">
        <v>18</v>
      </c>
      <c r="C178" s="36"/>
      <c r="D178" s="44"/>
      <c r="E178" s="38"/>
      <c r="F178" s="38"/>
      <c r="G178" s="38"/>
      <c r="H178" s="63"/>
      <c r="I178" s="51"/>
      <c r="J178" s="52"/>
    </row>
    <row r="179" spans="1:10" ht="13.2" x14ac:dyDescent="0.25">
      <c r="A179" s="52"/>
      <c r="B179" s="52"/>
      <c r="C179" s="52"/>
      <c r="D179" s="53"/>
      <c r="E179" s="53"/>
      <c r="F179" s="53"/>
      <c r="G179" s="53"/>
      <c r="H179" s="64"/>
      <c r="I179" s="51"/>
      <c r="J179" s="52"/>
    </row>
    <row r="180" spans="1:10" ht="15.6" x14ac:dyDescent="0.25">
      <c r="A180" s="46">
        <v>23</v>
      </c>
      <c r="B180" s="97"/>
      <c r="C180" s="98"/>
      <c r="D180" s="98"/>
      <c r="E180" s="98"/>
      <c r="F180" s="98"/>
      <c r="G180" s="98"/>
      <c r="H180" s="59"/>
      <c r="I180" s="25">
        <f ca="1">IF(COUNTIFS(H181:H185,"&gt;0") &gt; 3, FLOOR((SUM(H181:H185)-MIN(H181,H182,H183,H184,H185))/4,0.0001), )</f>
        <v>0</v>
      </c>
      <c r="J180" s="26" t="str">
        <f ca="1">IF(I180=0,"",RANK(I180,$I$4:$I$224,))</f>
        <v/>
      </c>
    </row>
    <row r="181" spans="1:10" ht="13.2" x14ac:dyDescent="0.25">
      <c r="A181" s="52"/>
      <c r="B181" s="48">
        <v>1</v>
      </c>
      <c r="C181" s="49"/>
      <c r="D181" s="50"/>
      <c r="E181" s="60"/>
      <c r="F181" s="60"/>
      <c r="G181" s="60"/>
      <c r="H181" s="61">
        <f ca="1">IFERROR(__xludf.DUMMYFUNCTION("MAX(IF(REGEXMATCH(E181,""^\d{1,2},\d{2}$""),VALUE(E181),0),IF(REGEXMATCH(F181,""^\d{1,2},\d{2}$""),VALUE(F181),0),IF(REGEXMATCH(G181,""^\d{1,2},\d{2}$""),VALUE(G181),0))"),0)</f>
        <v>0</v>
      </c>
      <c r="I181" s="51"/>
      <c r="J181" s="52"/>
    </row>
    <row r="182" spans="1:10" ht="13.2" x14ac:dyDescent="0.25">
      <c r="A182" s="52"/>
      <c r="B182" s="48">
        <v>2</v>
      </c>
      <c r="C182" s="49"/>
      <c r="D182" s="50"/>
      <c r="E182" s="60"/>
      <c r="F182" s="60"/>
      <c r="G182" s="60"/>
      <c r="H182" s="61">
        <f ca="1">IFERROR(__xludf.DUMMYFUNCTION("MAX(IF(REGEXMATCH(E182,""^\d{1,2},\d{2}$""),VALUE(E182),0),IF(REGEXMATCH(F182,""^\d{1,2},\d{2}$""),VALUE(F182),0),IF(REGEXMATCH(G182,""^\d{1,2},\d{2}$""),VALUE(G182),0))"),0)</f>
        <v>0</v>
      </c>
      <c r="I182" s="51"/>
      <c r="J182" s="52"/>
    </row>
    <row r="183" spans="1:10" ht="13.2" x14ac:dyDescent="0.25">
      <c r="A183" s="52"/>
      <c r="B183" s="48">
        <v>3</v>
      </c>
      <c r="C183" s="49"/>
      <c r="D183" s="50"/>
      <c r="E183" s="60"/>
      <c r="F183" s="60"/>
      <c r="G183" s="60"/>
      <c r="H183" s="61">
        <f ca="1">IFERROR(__xludf.DUMMYFUNCTION("MAX(IF(REGEXMATCH(E183,""^\d{1,2},\d{2}$""),VALUE(E183),0),IF(REGEXMATCH(F183,""^\d{1,2},\d{2}$""),VALUE(F183),0),IF(REGEXMATCH(G183,""^\d{1,2},\d{2}$""),VALUE(G183),0))"),0)</f>
        <v>0</v>
      </c>
      <c r="I183" s="51"/>
      <c r="J183" s="52"/>
    </row>
    <row r="184" spans="1:10" ht="13.2" x14ac:dyDescent="0.25">
      <c r="A184" s="52"/>
      <c r="B184" s="48">
        <v>4</v>
      </c>
      <c r="C184" s="49"/>
      <c r="D184" s="50"/>
      <c r="E184" s="60"/>
      <c r="F184" s="60"/>
      <c r="G184" s="60"/>
      <c r="H184" s="61">
        <f ca="1">IFERROR(__xludf.DUMMYFUNCTION("MAX(IF(REGEXMATCH(E184,""^\d{1,2},\d{2}$""),VALUE(E184),0),IF(REGEXMATCH(F184,""^\d{1,2},\d{2}$""),VALUE(F184),0),IF(REGEXMATCH(G184,""^\d{1,2},\d{2}$""),VALUE(G184),0))"),0)</f>
        <v>0</v>
      </c>
      <c r="I184" s="51"/>
      <c r="J184" s="52"/>
    </row>
    <row r="185" spans="1:10" ht="13.2" x14ac:dyDescent="0.25">
      <c r="A185" s="52"/>
      <c r="B185" s="48">
        <v>5</v>
      </c>
      <c r="C185" s="49"/>
      <c r="D185" s="50"/>
      <c r="E185" s="60"/>
      <c r="F185" s="60"/>
      <c r="G185" s="60"/>
      <c r="H185" s="61">
        <f ca="1">IFERROR(__xludf.DUMMYFUNCTION("MAX(IF(REGEXMATCH(E185,""^\d{1,2},\d{2}$""),VALUE(E185),0),IF(REGEXMATCH(F185,""^\d{1,2},\d{2}$""),VALUE(F185),0),IF(REGEXMATCH(G185,""^\d{1,2},\d{2}$""),VALUE(G185),0))"),0)</f>
        <v>0</v>
      </c>
      <c r="I185" s="51"/>
      <c r="J185" s="52"/>
    </row>
    <row r="186" spans="1:10" ht="13.2" x14ac:dyDescent="0.25">
      <c r="A186" s="52"/>
      <c r="B186" s="62" t="s">
        <v>18</v>
      </c>
      <c r="C186" s="36"/>
      <c r="D186" s="44"/>
      <c r="E186" s="38"/>
      <c r="F186" s="38"/>
      <c r="G186" s="38"/>
      <c r="H186" s="63"/>
      <c r="I186" s="51"/>
      <c r="J186" s="52"/>
    </row>
    <row r="187" spans="1:10" ht="13.2" x14ac:dyDescent="0.25">
      <c r="A187" s="52"/>
      <c r="B187" s="52"/>
      <c r="C187" s="52"/>
      <c r="D187" s="53"/>
      <c r="E187" s="53"/>
      <c r="F187" s="53"/>
      <c r="G187" s="53"/>
      <c r="H187" s="64"/>
      <c r="I187" s="51"/>
      <c r="J187" s="52"/>
    </row>
    <row r="188" spans="1:10" ht="15.6" x14ac:dyDescent="0.25">
      <c r="A188" s="46">
        <v>24</v>
      </c>
      <c r="B188" s="97"/>
      <c r="C188" s="98"/>
      <c r="D188" s="98"/>
      <c r="E188" s="98"/>
      <c r="F188" s="98"/>
      <c r="G188" s="98"/>
      <c r="H188" s="59"/>
      <c r="I188" s="25">
        <f ca="1">IF(COUNTIFS(H189:H193,"&gt;0") &gt; 3, FLOOR((SUM(H189:H193)-MIN(H189,H190,H191,H192,H193))/4,0.0001), )</f>
        <v>0</v>
      </c>
      <c r="J188" s="26" t="str">
        <f ca="1">IF(I188=0,"",RANK(I188,$I$4:$I$224,))</f>
        <v/>
      </c>
    </row>
    <row r="189" spans="1:10" ht="13.2" x14ac:dyDescent="0.25">
      <c r="A189" s="52"/>
      <c r="B189" s="48">
        <v>1</v>
      </c>
      <c r="C189" s="49"/>
      <c r="D189" s="50"/>
      <c r="E189" s="60"/>
      <c r="F189" s="60"/>
      <c r="G189" s="60"/>
      <c r="H189" s="61">
        <f ca="1">IFERROR(__xludf.DUMMYFUNCTION("MAX(IF(REGEXMATCH(E189,""^\d{1,2},\d{2}$""),VALUE(E189),0),IF(REGEXMATCH(F189,""^\d{1,2},\d{2}$""),VALUE(F189),0),IF(REGEXMATCH(G189,""^\d{1,2},\d{2}$""),VALUE(G189),0))"),0)</f>
        <v>0</v>
      </c>
      <c r="I189" s="51"/>
      <c r="J189" s="52"/>
    </row>
    <row r="190" spans="1:10" ht="13.2" x14ac:dyDescent="0.25">
      <c r="A190" s="52"/>
      <c r="B190" s="48">
        <v>2</v>
      </c>
      <c r="C190" s="49"/>
      <c r="D190" s="50"/>
      <c r="E190" s="60"/>
      <c r="F190" s="60"/>
      <c r="G190" s="60"/>
      <c r="H190" s="61">
        <f ca="1">IFERROR(__xludf.DUMMYFUNCTION("MAX(IF(REGEXMATCH(E190,""^\d{1,2},\d{2}$""),VALUE(E190),0),IF(REGEXMATCH(F190,""^\d{1,2},\d{2}$""),VALUE(F190),0),IF(REGEXMATCH(G190,""^\d{1,2},\d{2}$""),VALUE(G190),0))"),0)</f>
        <v>0</v>
      </c>
      <c r="I190" s="51"/>
      <c r="J190" s="52"/>
    </row>
    <row r="191" spans="1:10" ht="13.2" x14ac:dyDescent="0.25">
      <c r="A191" s="52"/>
      <c r="B191" s="48">
        <v>3</v>
      </c>
      <c r="C191" s="49"/>
      <c r="D191" s="50"/>
      <c r="E191" s="60"/>
      <c r="F191" s="60"/>
      <c r="G191" s="60"/>
      <c r="H191" s="61">
        <f ca="1">IFERROR(__xludf.DUMMYFUNCTION("MAX(IF(REGEXMATCH(E191,""^\d{1,2},\d{2}$""),VALUE(E191),0),IF(REGEXMATCH(F191,""^\d{1,2},\d{2}$""),VALUE(F191),0),IF(REGEXMATCH(G191,""^\d{1,2},\d{2}$""),VALUE(G191),0))"),0)</f>
        <v>0</v>
      </c>
      <c r="I191" s="51"/>
      <c r="J191" s="52"/>
    </row>
    <row r="192" spans="1:10" ht="13.2" x14ac:dyDescent="0.25">
      <c r="A192" s="52"/>
      <c r="B192" s="48">
        <v>4</v>
      </c>
      <c r="C192" s="49"/>
      <c r="D192" s="50"/>
      <c r="E192" s="60"/>
      <c r="F192" s="60"/>
      <c r="G192" s="60"/>
      <c r="H192" s="61">
        <f ca="1">IFERROR(__xludf.DUMMYFUNCTION("MAX(IF(REGEXMATCH(E192,""^\d{1,2},\d{2}$""),VALUE(E192),0),IF(REGEXMATCH(F192,""^\d{1,2},\d{2}$""),VALUE(F192),0),IF(REGEXMATCH(G192,""^\d{1,2},\d{2}$""),VALUE(G192),0))"),0)</f>
        <v>0</v>
      </c>
      <c r="I192" s="51"/>
      <c r="J192" s="52"/>
    </row>
    <row r="193" spans="1:10" ht="13.2" x14ac:dyDescent="0.25">
      <c r="A193" s="52"/>
      <c r="B193" s="48">
        <v>5</v>
      </c>
      <c r="C193" s="49"/>
      <c r="D193" s="50"/>
      <c r="E193" s="60"/>
      <c r="F193" s="60"/>
      <c r="G193" s="60"/>
      <c r="H193" s="61">
        <f ca="1">IFERROR(__xludf.DUMMYFUNCTION("MAX(IF(REGEXMATCH(E193,""^\d{1,2},\d{2}$""),VALUE(E193),0),IF(REGEXMATCH(F193,""^\d{1,2},\d{2}$""),VALUE(F193),0),IF(REGEXMATCH(G193,""^\d{1,2},\d{2}$""),VALUE(G193),0))"),0)</f>
        <v>0</v>
      </c>
      <c r="I193" s="51"/>
      <c r="J193" s="52"/>
    </row>
    <row r="194" spans="1:10" ht="13.2" x14ac:dyDescent="0.25">
      <c r="A194" s="52"/>
      <c r="B194" s="62" t="s">
        <v>18</v>
      </c>
      <c r="C194" s="36"/>
      <c r="D194" s="44"/>
      <c r="E194" s="38"/>
      <c r="F194" s="38"/>
      <c r="G194" s="38"/>
      <c r="H194" s="63"/>
      <c r="I194" s="51"/>
      <c r="J194" s="52"/>
    </row>
    <row r="195" spans="1:10" ht="13.2" x14ac:dyDescent="0.25">
      <c r="A195" s="52"/>
      <c r="B195" s="52"/>
      <c r="C195" s="52"/>
      <c r="D195" s="53"/>
      <c r="E195" s="53"/>
      <c r="F195" s="53"/>
      <c r="G195" s="53"/>
      <c r="H195" s="64"/>
      <c r="I195" s="51"/>
      <c r="J195" s="52"/>
    </row>
    <row r="196" spans="1:10" ht="15.6" x14ac:dyDescent="0.25">
      <c r="A196" s="46">
        <v>25</v>
      </c>
      <c r="B196" s="97"/>
      <c r="C196" s="98"/>
      <c r="D196" s="98"/>
      <c r="E196" s="98"/>
      <c r="F196" s="98"/>
      <c r="G196" s="98"/>
      <c r="H196" s="59"/>
      <c r="I196" s="25">
        <f ca="1">IF(COUNTIFS(H197:H201,"&gt;0") &gt; 3, FLOOR((SUM(H197:H201)-MIN(H197,H198,H199,H200,H201))/4,0.0001), )</f>
        <v>0</v>
      </c>
      <c r="J196" s="26" t="str">
        <f ca="1">IF(I196=0,"",RANK(I196,$I$4:$I$224,))</f>
        <v/>
      </c>
    </row>
    <row r="197" spans="1:10" ht="13.2" x14ac:dyDescent="0.25">
      <c r="A197" s="52"/>
      <c r="B197" s="48">
        <v>1</v>
      </c>
      <c r="C197" s="49"/>
      <c r="D197" s="50"/>
      <c r="E197" s="60"/>
      <c r="F197" s="60"/>
      <c r="G197" s="60"/>
      <c r="H197" s="61">
        <f ca="1">IFERROR(__xludf.DUMMYFUNCTION("MAX(IF(REGEXMATCH(E197,""^\d{1,2},\d{2}$""),VALUE(E197),0),IF(REGEXMATCH(F197,""^\d{1,2},\d{2}$""),VALUE(F197),0),IF(REGEXMATCH(G197,""^\d{1,2},\d{2}$""),VALUE(G197),0))"),0)</f>
        <v>0</v>
      </c>
      <c r="I197" s="51"/>
      <c r="J197" s="52"/>
    </row>
    <row r="198" spans="1:10" ht="13.2" x14ac:dyDescent="0.25">
      <c r="A198" s="52"/>
      <c r="B198" s="48">
        <v>2</v>
      </c>
      <c r="C198" s="49"/>
      <c r="D198" s="50"/>
      <c r="E198" s="60"/>
      <c r="F198" s="60"/>
      <c r="G198" s="60"/>
      <c r="H198" s="61">
        <f ca="1">IFERROR(__xludf.DUMMYFUNCTION("MAX(IF(REGEXMATCH(E198,""^\d{1,2},\d{2}$""),VALUE(E198),0),IF(REGEXMATCH(F198,""^\d{1,2},\d{2}$""),VALUE(F198),0),IF(REGEXMATCH(G198,""^\d{1,2},\d{2}$""),VALUE(G198),0))"),0)</f>
        <v>0</v>
      </c>
      <c r="I198" s="51"/>
      <c r="J198" s="52"/>
    </row>
    <row r="199" spans="1:10" ht="13.2" x14ac:dyDescent="0.25">
      <c r="A199" s="52"/>
      <c r="B199" s="48">
        <v>3</v>
      </c>
      <c r="C199" s="49"/>
      <c r="D199" s="50"/>
      <c r="E199" s="60"/>
      <c r="F199" s="60"/>
      <c r="G199" s="60"/>
      <c r="H199" s="61">
        <f ca="1">IFERROR(__xludf.DUMMYFUNCTION("MAX(IF(REGEXMATCH(E199,""^\d{1,2},\d{2}$""),VALUE(E199),0),IF(REGEXMATCH(F199,""^\d{1,2},\d{2}$""),VALUE(F199),0),IF(REGEXMATCH(G199,""^\d{1,2},\d{2}$""),VALUE(G199),0))"),0)</f>
        <v>0</v>
      </c>
      <c r="I199" s="51"/>
      <c r="J199" s="52"/>
    </row>
    <row r="200" spans="1:10" ht="13.2" x14ac:dyDescent="0.25">
      <c r="A200" s="52"/>
      <c r="B200" s="48">
        <v>4</v>
      </c>
      <c r="C200" s="49"/>
      <c r="D200" s="50"/>
      <c r="E200" s="60"/>
      <c r="F200" s="60"/>
      <c r="G200" s="60"/>
      <c r="H200" s="61">
        <f ca="1">IFERROR(__xludf.DUMMYFUNCTION("MAX(IF(REGEXMATCH(E200,""^\d{1,2},\d{2}$""),VALUE(E200),0),IF(REGEXMATCH(F200,""^\d{1,2},\d{2}$""),VALUE(F200),0),IF(REGEXMATCH(G200,""^\d{1,2},\d{2}$""),VALUE(G200),0))"),0)</f>
        <v>0</v>
      </c>
      <c r="I200" s="51"/>
      <c r="J200" s="52"/>
    </row>
    <row r="201" spans="1:10" ht="13.2" x14ac:dyDescent="0.25">
      <c r="A201" s="52"/>
      <c r="B201" s="48">
        <v>5</v>
      </c>
      <c r="C201" s="49"/>
      <c r="D201" s="50"/>
      <c r="E201" s="60"/>
      <c r="F201" s="60"/>
      <c r="G201" s="60"/>
      <c r="H201" s="61">
        <f ca="1">IFERROR(__xludf.DUMMYFUNCTION("MAX(IF(REGEXMATCH(E201,""^\d{1,2},\d{2}$""),VALUE(E201),0),IF(REGEXMATCH(F201,""^\d{1,2},\d{2}$""),VALUE(F201),0),IF(REGEXMATCH(G201,""^\d{1,2},\d{2}$""),VALUE(G201),0))"),0)</f>
        <v>0</v>
      </c>
      <c r="I201" s="51"/>
      <c r="J201" s="52"/>
    </row>
    <row r="202" spans="1:10" ht="13.2" x14ac:dyDescent="0.25">
      <c r="A202" s="52"/>
      <c r="B202" s="62" t="s">
        <v>18</v>
      </c>
      <c r="C202" s="36"/>
      <c r="D202" s="44"/>
      <c r="E202" s="38"/>
      <c r="F202" s="38"/>
      <c r="G202" s="38"/>
      <c r="H202" s="63"/>
      <c r="I202" s="51"/>
      <c r="J202" s="52"/>
    </row>
    <row r="203" spans="1:10" ht="13.2" x14ac:dyDescent="0.25">
      <c r="A203" s="17"/>
      <c r="B203" s="17"/>
      <c r="D203" s="18"/>
      <c r="E203" s="18"/>
      <c r="F203" s="18"/>
      <c r="G203" s="18"/>
      <c r="H203" s="58"/>
      <c r="I203" s="21"/>
      <c r="J203" s="22"/>
    </row>
    <row r="204" spans="1:10" ht="13.2" x14ac:dyDescent="0.25">
      <c r="A204" s="17"/>
      <c r="B204" s="17"/>
      <c r="D204" s="18"/>
      <c r="E204" s="18"/>
      <c r="F204" s="18"/>
      <c r="G204" s="18"/>
      <c r="H204" s="58"/>
      <c r="I204" s="21"/>
      <c r="J204" s="22"/>
    </row>
    <row r="205" spans="1:10" ht="13.2" x14ac:dyDescent="0.25">
      <c r="A205" s="17"/>
      <c r="B205" s="17"/>
      <c r="D205" s="18"/>
      <c r="E205" s="18"/>
      <c r="F205" s="18"/>
      <c r="G205" s="18"/>
      <c r="H205" s="58"/>
      <c r="I205" s="21"/>
      <c r="J205" s="22"/>
    </row>
    <row r="206" spans="1:10" ht="13.2" x14ac:dyDescent="0.25">
      <c r="A206" s="17"/>
      <c r="B206" s="17"/>
      <c r="D206" s="18"/>
      <c r="E206" s="18"/>
      <c r="F206" s="18"/>
      <c r="G206" s="18"/>
      <c r="H206" s="58"/>
      <c r="I206" s="21"/>
      <c r="J206" s="22"/>
    </row>
    <row r="207" spans="1:10" ht="13.2" x14ac:dyDescent="0.25">
      <c r="A207" s="17"/>
      <c r="B207" s="17"/>
      <c r="D207" s="18"/>
      <c r="E207" s="18"/>
      <c r="F207" s="18"/>
      <c r="G207" s="18"/>
      <c r="H207" s="58"/>
      <c r="I207" s="21"/>
      <c r="J207" s="22"/>
    </row>
    <row r="208" spans="1:10" ht="13.2" x14ac:dyDescent="0.25">
      <c r="A208" s="17"/>
      <c r="B208" s="17"/>
      <c r="D208" s="18"/>
      <c r="E208" s="18"/>
      <c r="F208" s="18"/>
      <c r="G208" s="18"/>
      <c r="H208" s="58"/>
      <c r="I208" s="21"/>
      <c r="J208" s="22"/>
    </row>
    <row r="209" spans="1:10" ht="13.2" x14ac:dyDescent="0.25">
      <c r="A209" s="17"/>
      <c r="B209" s="17"/>
      <c r="D209" s="18"/>
      <c r="E209" s="18"/>
      <c r="F209" s="18"/>
      <c r="G209" s="18"/>
      <c r="H209" s="58"/>
      <c r="I209" s="21"/>
      <c r="J209" s="22"/>
    </row>
    <row r="210" spans="1:10" ht="13.2" x14ac:dyDescent="0.25">
      <c r="A210" s="17"/>
      <c r="B210" s="17"/>
      <c r="D210" s="18"/>
      <c r="E210" s="18"/>
      <c r="F210" s="18"/>
      <c r="G210" s="18"/>
      <c r="H210" s="58"/>
      <c r="I210" s="21"/>
      <c r="J210" s="22"/>
    </row>
    <row r="211" spans="1:10" ht="13.2" x14ac:dyDescent="0.25">
      <c r="A211" s="17"/>
      <c r="B211" s="17"/>
      <c r="D211" s="18"/>
      <c r="E211" s="18"/>
      <c r="F211" s="18"/>
      <c r="G211" s="18"/>
      <c r="H211" s="58"/>
      <c r="I211" s="21"/>
      <c r="J211" s="22"/>
    </row>
    <row r="212" spans="1:10" ht="13.2" x14ac:dyDescent="0.25">
      <c r="A212" s="17"/>
      <c r="B212" s="17"/>
      <c r="D212" s="18"/>
      <c r="E212" s="18"/>
      <c r="F212" s="18"/>
      <c r="G212" s="18"/>
      <c r="H212" s="58"/>
      <c r="I212" s="21"/>
      <c r="J212" s="22"/>
    </row>
    <row r="213" spans="1:10" ht="13.2" x14ac:dyDescent="0.25">
      <c r="A213" s="17"/>
      <c r="B213" s="17"/>
      <c r="D213" s="18"/>
      <c r="E213" s="18"/>
      <c r="F213" s="18"/>
      <c r="G213" s="18"/>
      <c r="H213" s="58"/>
      <c r="I213" s="21"/>
      <c r="J213" s="22"/>
    </row>
    <row r="214" spans="1:10" ht="13.2" x14ac:dyDescent="0.25">
      <c r="A214" s="17"/>
      <c r="B214" s="17"/>
      <c r="D214" s="18"/>
      <c r="E214" s="18"/>
      <c r="F214" s="18"/>
      <c r="G214" s="18"/>
      <c r="H214" s="58"/>
      <c r="I214" s="21"/>
      <c r="J214" s="22"/>
    </row>
    <row r="215" spans="1:10" ht="13.2" x14ac:dyDescent="0.25">
      <c r="A215" s="17"/>
      <c r="B215" s="17"/>
      <c r="D215" s="18"/>
      <c r="E215" s="18"/>
      <c r="F215" s="18"/>
      <c r="G215" s="18"/>
      <c r="H215" s="58"/>
      <c r="I215" s="21"/>
      <c r="J215" s="22"/>
    </row>
    <row r="216" spans="1:10" ht="13.2" x14ac:dyDescent="0.25">
      <c r="A216" s="17"/>
      <c r="B216" s="17"/>
      <c r="D216" s="18"/>
      <c r="E216" s="18"/>
      <c r="F216" s="18"/>
      <c r="G216" s="18"/>
      <c r="H216" s="58"/>
      <c r="I216" s="21"/>
      <c r="J216" s="22"/>
    </row>
    <row r="217" spans="1:10" ht="13.2" x14ac:dyDescent="0.25">
      <c r="A217" s="17"/>
      <c r="B217" s="17"/>
      <c r="D217" s="18"/>
      <c r="E217" s="18"/>
      <c r="F217" s="18"/>
      <c r="G217" s="18"/>
      <c r="H217" s="58"/>
      <c r="I217" s="21"/>
      <c r="J217" s="22"/>
    </row>
    <row r="218" spans="1:10" ht="13.2" x14ac:dyDescent="0.25">
      <c r="A218" s="17"/>
      <c r="B218" s="17"/>
      <c r="D218" s="18"/>
      <c r="E218" s="18"/>
      <c r="F218" s="18"/>
      <c r="G218" s="18"/>
      <c r="H218" s="58"/>
      <c r="I218" s="21"/>
      <c r="J218" s="22"/>
    </row>
    <row r="219" spans="1:10" ht="13.2" x14ac:dyDescent="0.25">
      <c r="A219" s="17"/>
      <c r="B219" s="17"/>
      <c r="D219" s="18"/>
      <c r="E219" s="18"/>
      <c r="F219" s="18"/>
      <c r="G219" s="18"/>
      <c r="H219" s="58"/>
      <c r="I219" s="21"/>
      <c r="J219" s="22"/>
    </row>
    <row r="220" spans="1:10" ht="13.2" x14ac:dyDescent="0.25">
      <c r="A220" s="17"/>
      <c r="B220" s="17"/>
      <c r="D220" s="18"/>
      <c r="E220" s="18"/>
      <c r="F220" s="18"/>
      <c r="G220" s="18"/>
      <c r="H220" s="58"/>
      <c r="I220" s="21"/>
      <c r="J220" s="22"/>
    </row>
    <row r="221" spans="1:10" ht="13.2" x14ac:dyDescent="0.25">
      <c r="A221" s="17"/>
      <c r="B221" s="17"/>
      <c r="D221" s="18"/>
      <c r="E221" s="18"/>
      <c r="F221" s="18"/>
      <c r="G221" s="18"/>
      <c r="H221" s="58"/>
      <c r="I221" s="21"/>
      <c r="J221" s="22"/>
    </row>
    <row r="222" spans="1:10" ht="13.2" x14ac:dyDescent="0.25">
      <c r="A222" s="17"/>
      <c r="B222" s="17"/>
      <c r="D222" s="18"/>
      <c r="E222" s="18"/>
      <c r="F222" s="18"/>
      <c r="G222" s="18"/>
      <c r="H222" s="58"/>
      <c r="I222" s="21"/>
      <c r="J222" s="22"/>
    </row>
    <row r="223" spans="1:10" ht="13.2" x14ac:dyDescent="0.25">
      <c r="A223" s="17"/>
      <c r="B223" s="17"/>
      <c r="D223" s="18"/>
      <c r="E223" s="18"/>
      <c r="F223" s="18"/>
      <c r="G223" s="18"/>
      <c r="H223" s="58"/>
      <c r="I223" s="21"/>
      <c r="J223" s="22"/>
    </row>
    <row r="224" spans="1:10" ht="13.2" x14ac:dyDescent="0.25">
      <c r="A224" s="17"/>
      <c r="B224" s="17"/>
      <c r="D224" s="18"/>
      <c r="E224" s="18"/>
      <c r="F224" s="18"/>
      <c r="G224" s="18"/>
      <c r="H224" s="58"/>
      <c r="I224" s="21"/>
      <c r="J224" s="22"/>
    </row>
    <row r="225" spans="1:10" ht="13.2" x14ac:dyDescent="0.25">
      <c r="A225" s="17"/>
      <c r="B225" s="17"/>
      <c r="D225" s="18"/>
      <c r="E225" s="18"/>
      <c r="F225" s="18"/>
      <c r="G225" s="18"/>
      <c r="H225" s="58"/>
      <c r="I225" s="21"/>
      <c r="J225" s="22"/>
    </row>
    <row r="226" spans="1:10" ht="13.2" x14ac:dyDescent="0.25">
      <c r="A226" s="17"/>
      <c r="B226" s="17"/>
      <c r="D226" s="18"/>
      <c r="E226" s="18"/>
      <c r="F226" s="18"/>
      <c r="G226" s="18"/>
      <c r="H226" s="58"/>
      <c r="I226" s="21"/>
      <c r="J226" s="22"/>
    </row>
    <row r="227" spans="1:10" ht="13.2" x14ac:dyDescent="0.25">
      <c r="A227" s="17"/>
      <c r="B227" s="17"/>
      <c r="D227" s="18"/>
      <c r="E227" s="18"/>
      <c r="F227" s="18"/>
      <c r="G227" s="18"/>
      <c r="H227" s="58"/>
      <c r="I227" s="21"/>
      <c r="J227" s="22"/>
    </row>
    <row r="228" spans="1:10" ht="13.2" x14ac:dyDescent="0.25">
      <c r="A228" s="17"/>
      <c r="B228" s="17"/>
      <c r="D228" s="18"/>
      <c r="E228" s="18"/>
      <c r="F228" s="18"/>
      <c r="G228" s="18"/>
      <c r="H228" s="58"/>
      <c r="I228" s="21"/>
      <c r="J228" s="22"/>
    </row>
    <row r="229" spans="1:10" ht="13.2" x14ac:dyDescent="0.25">
      <c r="A229" s="17"/>
      <c r="B229" s="17"/>
      <c r="D229" s="18"/>
      <c r="E229" s="18"/>
      <c r="F229" s="18"/>
      <c r="G229" s="18"/>
      <c r="H229" s="58"/>
      <c r="I229" s="21"/>
      <c r="J229" s="22"/>
    </row>
    <row r="230" spans="1:10" ht="13.2" x14ac:dyDescent="0.25">
      <c r="A230" s="17"/>
      <c r="B230" s="17"/>
      <c r="D230" s="18"/>
      <c r="E230" s="18"/>
      <c r="F230" s="18"/>
      <c r="G230" s="18"/>
      <c r="H230" s="58"/>
      <c r="I230" s="21"/>
      <c r="J230" s="22"/>
    </row>
    <row r="231" spans="1:10" ht="13.2" x14ac:dyDescent="0.25">
      <c r="A231" s="17"/>
      <c r="B231" s="17"/>
      <c r="D231" s="18"/>
      <c r="E231" s="18"/>
      <c r="F231" s="18"/>
      <c r="G231" s="18"/>
      <c r="H231" s="58"/>
      <c r="I231" s="21"/>
      <c r="J231" s="22"/>
    </row>
    <row r="232" spans="1:10" ht="13.2" x14ac:dyDescent="0.25">
      <c r="A232" s="17"/>
      <c r="B232" s="17"/>
      <c r="D232" s="18"/>
      <c r="E232" s="18"/>
      <c r="F232" s="18"/>
      <c r="G232" s="18"/>
      <c r="H232" s="58"/>
      <c r="I232" s="21"/>
      <c r="J232" s="22"/>
    </row>
    <row r="233" spans="1:10" ht="13.2" x14ac:dyDescent="0.25">
      <c r="A233" s="17"/>
      <c r="B233" s="17"/>
      <c r="D233" s="18"/>
      <c r="E233" s="18"/>
      <c r="F233" s="18"/>
      <c r="G233" s="18"/>
      <c r="H233" s="58"/>
      <c r="I233" s="21"/>
      <c r="J233" s="22"/>
    </row>
    <row r="234" spans="1:10" ht="13.2" x14ac:dyDescent="0.25">
      <c r="A234" s="17"/>
      <c r="B234" s="17"/>
      <c r="D234" s="18"/>
      <c r="E234" s="18"/>
      <c r="F234" s="18"/>
      <c r="G234" s="18"/>
      <c r="H234" s="58"/>
      <c r="I234" s="21"/>
      <c r="J234" s="22"/>
    </row>
    <row r="235" spans="1:10" ht="13.2" x14ac:dyDescent="0.25">
      <c r="A235" s="17"/>
      <c r="B235" s="17"/>
      <c r="D235" s="18"/>
      <c r="E235" s="18"/>
      <c r="F235" s="18"/>
      <c r="G235" s="18"/>
      <c r="H235" s="58"/>
      <c r="I235" s="21"/>
      <c r="J235" s="22"/>
    </row>
    <row r="236" spans="1:10" ht="13.2" x14ac:dyDescent="0.25">
      <c r="A236" s="17"/>
      <c r="B236" s="17"/>
      <c r="D236" s="18"/>
      <c r="E236" s="18"/>
      <c r="F236" s="18"/>
      <c r="G236" s="18"/>
      <c r="H236" s="58"/>
      <c r="I236" s="21"/>
      <c r="J236" s="22"/>
    </row>
    <row r="237" spans="1:10" ht="13.2" x14ac:dyDescent="0.25">
      <c r="A237" s="17"/>
      <c r="B237" s="17"/>
      <c r="D237" s="18"/>
      <c r="E237" s="18"/>
      <c r="F237" s="18"/>
      <c r="G237" s="18"/>
      <c r="H237" s="58"/>
      <c r="I237" s="21"/>
      <c r="J237" s="22"/>
    </row>
    <row r="238" spans="1:10" ht="13.2" x14ac:dyDescent="0.25">
      <c r="A238" s="17"/>
      <c r="B238" s="17"/>
      <c r="D238" s="18"/>
      <c r="E238" s="18"/>
      <c r="F238" s="18"/>
      <c r="G238" s="18"/>
      <c r="H238" s="58"/>
      <c r="I238" s="21"/>
      <c r="J238" s="22"/>
    </row>
    <row r="239" spans="1:10" ht="13.2" x14ac:dyDescent="0.25">
      <c r="A239" s="17"/>
      <c r="B239" s="17"/>
      <c r="D239" s="18"/>
      <c r="E239" s="18"/>
      <c r="F239" s="18"/>
      <c r="G239" s="18"/>
      <c r="H239" s="58"/>
      <c r="I239" s="21"/>
      <c r="J239" s="22"/>
    </row>
    <row r="240" spans="1:10" ht="13.2" x14ac:dyDescent="0.25">
      <c r="A240" s="17"/>
      <c r="B240" s="17"/>
      <c r="D240" s="18"/>
      <c r="E240" s="18"/>
      <c r="F240" s="18"/>
      <c r="G240" s="18"/>
      <c r="H240" s="58"/>
      <c r="I240" s="21"/>
      <c r="J240" s="22"/>
    </row>
    <row r="241" spans="1:10" ht="13.2" x14ac:dyDescent="0.25">
      <c r="A241" s="17"/>
      <c r="B241" s="17"/>
      <c r="D241" s="18"/>
      <c r="E241" s="18"/>
      <c r="F241" s="18"/>
      <c r="G241" s="18"/>
      <c r="H241" s="58"/>
      <c r="I241" s="21"/>
      <c r="J241" s="22"/>
    </row>
    <row r="242" spans="1:10" ht="13.2" x14ac:dyDescent="0.25">
      <c r="A242" s="17"/>
      <c r="B242" s="17"/>
      <c r="D242" s="18"/>
      <c r="E242" s="18"/>
      <c r="F242" s="18"/>
      <c r="G242" s="18"/>
      <c r="H242" s="58"/>
      <c r="I242" s="21"/>
      <c r="J242" s="22"/>
    </row>
    <row r="243" spans="1:10" ht="13.2" x14ac:dyDescent="0.25">
      <c r="A243" s="17"/>
      <c r="B243" s="17"/>
      <c r="D243" s="18"/>
      <c r="E243" s="18"/>
      <c r="F243" s="18"/>
      <c r="G243" s="18"/>
      <c r="H243" s="58"/>
      <c r="I243" s="21"/>
      <c r="J243" s="22"/>
    </row>
    <row r="244" spans="1:10" ht="13.2" x14ac:dyDescent="0.25">
      <c r="A244" s="17"/>
      <c r="B244" s="17"/>
      <c r="D244" s="18"/>
      <c r="E244" s="18"/>
      <c r="F244" s="18"/>
      <c r="G244" s="18"/>
      <c r="H244" s="58"/>
      <c r="I244" s="21"/>
      <c r="J244" s="22"/>
    </row>
    <row r="245" spans="1:10" ht="13.2" x14ac:dyDescent="0.25">
      <c r="A245" s="17"/>
      <c r="B245" s="17"/>
      <c r="D245" s="18"/>
      <c r="E245" s="18"/>
      <c r="F245" s="18"/>
      <c r="G245" s="18"/>
      <c r="H245" s="58"/>
      <c r="I245" s="21"/>
      <c r="J245" s="22"/>
    </row>
    <row r="246" spans="1:10" ht="13.2" x14ac:dyDescent="0.25">
      <c r="A246" s="17"/>
      <c r="B246" s="17"/>
      <c r="D246" s="18"/>
      <c r="E246" s="18"/>
      <c r="F246" s="18"/>
      <c r="G246" s="18"/>
      <c r="H246" s="58"/>
      <c r="I246" s="21"/>
      <c r="J246" s="22"/>
    </row>
    <row r="247" spans="1:10" ht="13.2" x14ac:dyDescent="0.25">
      <c r="A247" s="17"/>
      <c r="B247" s="17"/>
      <c r="D247" s="18"/>
      <c r="E247" s="18"/>
      <c r="F247" s="18"/>
      <c r="G247" s="18"/>
      <c r="H247" s="58"/>
      <c r="I247" s="21"/>
      <c r="J247" s="22"/>
    </row>
    <row r="248" spans="1:10" ht="13.2" x14ac:dyDescent="0.25">
      <c r="A248" s="17"/>
      <c r="B248" s="17"/>
      <c r="D248" s="18"/>
      <c r="E248" s="18"/>
      <c r="F248" s="18"/>
      <c r="G248" s="18"/>
      <c r="H248" s="58"/>
      <c r="I248" s="21"/>
      <c r="J248" s="22"/>
    </row>
    <row r="249" spans="1:10" ht="13.2" x14ac:dyDescent="0.25">
      <c r="A249" s="17"/>
      <c r="B249" s="17"/>
      <c r="D249" s="18"/>
      <c r="E249" s="18"/>
      <c r="F249" s="18"/>
      <c r="G249" s="18"/>
      <c r="H249" s="58"/>
      <c r="I249" s="21"/>
      <c r="J249" s="22"/>
    </row>
    <row r="250" spans="1:10" ht="13.2" x14ac:dyDescent="0.25">
      <c r="A250" s="17"/>
      <c r="B250" s="17"/>
      <c r="D250" s="18"/>
      <c r="E250" s="18"/>
      <c r="F250" s="18"/>
      <c r="G250" s="18"/>
      <c r="H250" s="58"/>
      <c r="I250" s="21"/>
      <c r="J250" s="22"/>
    </row>
    <row r="251" spans="1:10" ht="13.2" x14ac:dyDescent="0.25">
      <c r="A251" s="17"/>
      <c r="B251" s="17"/>
      <c r="D251" s="18"/>
      <c r="E251" s="18"/>
      <c r="F251" s="18"/>
      <c r="G251" s="18"/>
      <c r="H251" s="58"/>
      <c r="I251" s="21"/>
      <c r="J251" s="22"/>
    </row>
    <row r="252" spans="1:10" ht="13.2" x14ac:dyDescent="0.25">
      <c r="A252" s="17"/>
      <c r="B252" s="17"/>
      <c r="D252" s="18"/>
      <c r="E252" s="18"/>
      <c r="F252" s="18"/>
      <c r="G252" s="18"/>
      <c r="H252" s="58"/>
      <c r="I252" s="21"/>
      <c r="J252" s="22"/>
    </row>
    <row r="253" spans="1:10" ht="13.2" x14ac:dyDescent="0.25">
      <c r="A253" s="17"/>
      <c r="B253" s="17"/>
      <c r="D253" s="18"/>
      <c r="E253" s="18"/>
      <c r="F253" s="18"/>
      <c r="G253" s="18"/>
      <c r="H253" s="58"/>
      <c r="I253" s="21"/>
      <c r="J253" s="22"/>
    </row>
    <row r="254" spans="1:10" ht="13.2" x14ac:dyDescent="0.25">
      <c r="A254" s="17"/>
      <c r="B254" s="17"/>
      <c r="D254" s="18"/>
      <c r="E254" s="18"/>
      <c r="F254" s="18"/>
      <c r="G254" s="18"/>
      <c r="H254" s="58"/>
      <c r="I254" s="21"/>
      <c r="J254" s="22"/>
    </row>
    <row r="255" spans="1:10" ht="13.2" x14ac:dyDescent="0.25">
      <c r="A255" s="17"/>
      <c r="B255" s="17"/>
      <c r="D255" s="18"/>
      <c r="E255" s="18"/>
      <c r="F255" s="18"/>
      <c r="G255" s="18"/>
      <c r="H255" s="58"/>
      <c r="I255" s="21"/>
      <c r="J255" s="22"/>
    </row>
    <row r="256" spans="1:10" ht="13.2" x14ac:dyDescent="0.25">
      <c r="A256" s="17"/>
      <c r="B256" s="17"/>
      <c r="D256" s="18"/>
      <c r="E256" s="18"/>
      <c r="F256" s="18"/>
      <c r="G256" s="18"/>
      <c r="H256" s="58"/>
      <c r="I256" s="21"/>
      <c r="J256" s="22"/>
    </row>
    <row r="257" spans="1:10" ht="13.2" x14ac:dyDescent="0.25">
      <c r="A257" s="17"/>
      <c r="B257" s="17"/>
      <c r="D257" s="18"/>
      <c r="E257" s="18"/>
      <c r="F257" s="18"/>
      <c r="G257" s="18"/>
      <c r="H257" s="58"/>
      <c r="I257" s="21"/>
      <c r="J257" s="22"/>
    </row>
    <row r="258" spans="1:10" ht="13.2" x14ac:dyDescent="0.25">
      <c r="A258" s="17"/>
      <c r="B258" s="17"/>
      <c r="D258" s="18"/>
      <c r="E258" s="18"/>
      <c r="F258" s="18"/>
      <c r="G258" s="18"/>
      <c r="H258" s="58"/>
      <c r="I258" s="21"/>
      <c r="J258" s="22"/>
    </row>
    <row r="259" spans="1:10" ht="13.2" x14ac:dyDescent="0.25">
      <c r="A259" s="17"/>
      <c r="B259" s="17"/>
      <c r="D259" s="18"/>
      <c r="E259" s="18"/>
      <c r="F259" s="18"/>
      <c r="G259" s="18"/>
      <c r="H259" s="58"/>
      <c r="I259" s="21"/>
      <c r="J259" s="22"/>
    </row>
    <row r="260" spans="1:10" ht="13.2" x14ac:dyDescent="0.25">
      <c r="A260" s="17"/>
      <c r="B260" s="17"/>
      <c r="D260" s="18"/>
      <c r="E260" s="18"/>
      <c r="F260" s="18"/>
      <c r="G260" s="18"/>
      <c r="H260" s="58"/>
      <c r="I260" s="21"/>
      <c r="J260" s="22"/>
    </row>
    <row r="261" spans="1:10" ht="13.2" x14ac:dyDescent="0.25">
      <c r="A261" s="17"/>
      <c r="B261" s="17"/>
      <c r="D261" s="18"/>
      <c r="E261" s="18"/>
      <c r="F261" s="18"/>
      <c r="G261" s="18"/>
      <c r="H261" s="58"/>
      <c r="I261" s="21"/>
      <c r="J261" s="22"/>
    </row>
    <row r="262" spans="1:10" ht="13.2" x14ac:dyDescent="0.25">
      <c r="A262" s="17"/>
      <c r="B262" s="17"/>
      <c r="D262" s="18"/>
      <c r="E262" s="18"/>
      <c r="F262" s="18"/>
      <c r="G262" s="18"/>
      <c r="H262" s="58"/>
      <c r="I262" s="21"/>
      <c r="J262" s="22"/>
    </row>
    <row r="263" spans="1:10" ht="13.2" x14ac:dyDescent="0.25">
      <c r="A263" s="17"/>
      <c r="B263" s="17"/>
      <c r="D263" s="18"/>
      <c r="E263" s="18"/>
      <c r="F263" s="18"/>
      <c r="G263" s="18"/>
      <c r="H263" s="58"/>
      <c r="I263" s="21"/>
      <c r="J263" s="22"/>
    </row>
    <row r="264" spans="1:10" ht="13.2" x14ac:dyDescent="0.25">
      <c r="A264" s="17"/>
      <c r="B264" s="17"/>
      <c r="D264" s="18"/>
      <c r="E264" s="18"/>
      <c r="F264" s="18"/>
      <c r="G264" s="18"/>
      <c r="H264" s="58"/>
      <c r="I264" s="21"/>
      <c r="J264" s="22"/>
    </row>
    <row r="265" spans="1:10" ht="13.2" x14ac:dyDescent="0.25">
      <c r="A265" s="17"/>
      <c r="B265" s="17"/>
      <c r="D265" s="18"/>
      <c r="E265" s="18"/>
      <c r="F265" s="18"/>
      <c r="G265" s="18"/>
      <c r="H265" s="58"/>
      <c r="I265" s="21"/>
      <c r="J265" s="22"/>
    </row>
    <row r="266" spans="1:10" ht="13.2" x14ac:dyDescent="0.25">
      <c r="A266" s="17"/>
      <c r="B266" s="17"/>
      <c r="D266" s="18"/>
      <c r="E266" s="18"/>
      <c r="F266" s="18"/>
      <c r="G266" s="18"/>
      <c r="H266" s="58"/>
      <c r="I266" s="21"/>
      <c r="J266" s="22"/>
    </row>
    <row r="267" spans="1:10" ht="13.2" x14ac:dyDescent="0.25">
      <c r="A267" s="17"/>
      <c r="B267" s="17"/>
      <c r="D267" s="18"/>
      <c r="E267" s="18"/>
      <c r="F267" s="18"/>
      <c r="G267" s="18"/>
      <c r="H267" s="58"/>
      <c r="I267" s="21"/>
      <c r="J267" s="22"/>
    </row>
    <row r="268" spans="1:10" ht="13.2" x14ac:dyDescent="0.25">
      <c r="A268" s="17"/>
      <c r="B268" s="17"/>
      <c r="D268" s="18"/>
      <c r="E268" s="18"/>
      <c r="F268" s="18"/>
      <c r="G268" s="18"/>
      <c r="H268" s="58"/>
      <c r="I268" s="21"/>
      <c r="J268" s="22"/>
    </row>
    <row r="269" spans="1:10" ht="13.2" x14ac:dyDescent="0.25">
      <c r="A269" s="17"/>
      <c r="B269" s="17"/>
      <c r="D269" s="18"/>
      <c r="E269" s="18"/>
      <c r="F269" s="18"/>
      <c r="G269" s="18"/>
      <c r="H269" s="58"/>
      <c r="I269" s="21"/>
      <c r="J269" s="22"/>
    </row>
    <row r="270" spans="1:10" ht="13.2" x14ac:dyDescent="0.25">
      <c r="A270" s="17"/>
      <c r="B270" s="17"/>
      <c r="D270" s="18"/>
      <c r="E270" s="18"/>
      <c r="F270" s="18"/>
      <c r="G270" s="18"/>
      <c r="H270" s="58"/>
      <c r="I270" s="21"/>
      <c r="J270" s="22"/>
    </row>
    <row r="271" spans="1:10" ht="13.2" x14ac:dyDescent="0.25">
      <c r="A271" s="17"/>
      <c r="B271" s="17"/>
      <c r="D271" s="18"/>
      <c r="E271" s="18"/>
      <c r="F271" s="18"/>
      <c r="G271" s="18"/>
      <c r="H271" s="58"/>
      <c r="I271" s="21"/>
      <c r="J271" s="22"/>
    </row>
    <row r="272" spans="1:10" ht="13.2" x14ac:dyDescent="0.25">
      <c r="A272" s="17"/>
      <c r="B272" s="17"/>
      <c r="D272" s="18"/>
      <c r="E272" s="18"/>
      <c r="F272" s="18"/>
      <c r="G272" s="18"/>
      <c r="H272" s="58"/>
      <c r="I272" s="21"/>
      <c r="J272" s="22"/>
    </row>
    <row r="273" spans="1:10" ht="13.2" x14ac:dyDescent="0.25">
      <c r="A273" s="17"/>
      <c r="B273" s="17"/>
      <c r="D273" s="18"/>
      <c r="E273" s="18"/>
      <c r="F273" s="18"/>
      <c r="G273" s="18"/>
      <c r="H273" s="58"/>
      <c r="I273" s="21"/>
      <c r="J273" s="22"/>
    </row>
    <row r="274" spans="1:10" ht="13.2" x14ac:dyDescent="0.25">
      <c r="A274" s="17"/>
      <c r="B274" s="17"/>
      <c r="D274" s="18"/>
      <c r="E274" s="18"/>
      <c r="F274" s="18"/>
      <c r="G274" s="18"/>
      <c r="H274" s="58"/>
      <c r="I274" s="21"/>
      <c r="J274" s="22"/>
    </row>
    <row r="275" spans="1:10" ht="13.2" x14ac:dyDescent="0.25">
      <c r="A275" s="17"/>
      <c r="B275" s="17"/>
      <c r="D275" s="18"/>
      <c r="E275" s="18"/>
      <c r="F275" s="18"/>
      <c r="G275" s="18"/>
      <c r="H275" s="58"/>
      <c r="I275" s="21"/>
      <c r="J275" s="22"/>
    </row>
    <row r="276" spans="1:10" ht="13.2" x14ac:dyDescent="0.25">
      <c r="A276" s="17"/>
      <c r="B276" s="17"/>
      <c r="D276" s="18"/>
      <c r="E276" s="18"/>
      <c r="F276" s="18"/>
      <c r="G276" s="18"/>
      <c r="H276" s="58"/>
      <c r="I276" s="21"/>
      <c r="J276" s="22"/>
    </row>
    <row r="277" spans="1:10" ht="13.2" x14ac:dyDescent="0.25">
      <c r="A277" s="17"/>
      <c r="B277" s="17"/>
      <c r="D277" s="18"/>
      <c r="E277" s="18"/>
      <c r="F277" s="18"/>
      <c r="G277" s="18"/>
      <c r="H277" s="58"/>
      <c r="I277" s="21"/>
      <c r="J277" s="22"/>
    </row>
    <row r="278" spans="1:10" ht="13.2" x14ac:dyDescent="0.25">
      <c r="A278" s="17"/>
      <c r="B278" s="17"/>
      <c r="D278" s="18"/>
      <c r="E278" s="18"/>
      <c r="F278" s="18"/>
      <c r="G278" s="18"/>
      <c r="H278" s="58"/>
      <c r="I278" s="21"/>
      <c r="J278" s="22"/>
    </row>
    <row r="279" spans="1:10" ht="13.2" x14ac:dyDescent="0.25">
      <c r="A279" s="17"/>
      <c r="B279" s="17"/>
      <c r="D279" s="18"/>
      <c r="E279" s="18"/>
      <c r="F279" s="18"/>
      <c r="G279" s="18"/>
      <c r="H279" s="58"/>
      <c r="I279" s="21"/>
      <c r="J279" s="22"/>
    </row>
    <row r="280" spans="1:10" ht="13.2" x14ac:dyDescent="0.25">
      <c r="A280" s="17"/>
      <c r="B280" s="17"/>
      <c r="D280" s="18"/>
      <c r="E280" s="18"/>
      <c r="F280" s="18"/>
      <c r="G280" s="18"/>
      <c r="H280" s="58"/>
      <c r="I280" s="21"/>
      <c r="J280" s="22"/>
    </row>
    <row r="281" spans="1:10" ht="13.2" x14ac:dyDescent="0.25">
      <c r="A281" s="17"/>
      <c r="B281" s="17"/>
      <c r="D281" s="18"/>
      <c r="E281" s="18"/>
      <c r="F281" s="18"/>
      <c r="G281" s="18"/>
      <c r="H281" s="58"/>
      <c r="I281" s="21"/>
      <c r="J281" s="22"/>
    </row>
    <row r="282" spans="1:10" ht="13.2" x14ac:dyDescent="0.25">
      <c r="A282" s="17"/>
      <c r="B282" s="17"/>
      <c r="D282" s="18"/>
      <c r="E282" s="18"/>
      <c r="F282" s="18"/>
      <c r="G282" s="18"/>
      <c r="H282" s="58"/>
      <c r="I282" s="21"/>
      <c r="J282" s="22"/>
    </row>
    <row r="283" spans="1:10" ht="13.2" x14ac:dyDescent="0.25">
      <c r="A283" s="17"/>
      <c r="B283" s="17"/>
      <c r="D283" s="18"/>
      <c r="E283" s="18"/>
      <c r="F283" s="18"/>
      <c r="G283" s="18"/>
      <c r="H283" s="58"/>
      <c r="I283" s="21"/>
      <c r="J283" s="22"/>
    </row>
    <row r="284" spans="1:10" ht="13.2" x14ac:dyDescent="0.25">
      <c r="A284" s="17"/>
      <c r="B284" s="17"/>
      <c r="D284" s="18"/>
      <c r="E284" s="18"/>
      <c r="F284" s="18"/>
      <c r="G284" s="18"/>
      <c r="H284" s="58"/>
      <c r="I284" s="21"/>
      <c r="J284" s="22"/>
    </row>
    <row r="285" spans="1:10" ht="13.2" x14ac:dyDescent="0.25">
      <c r="A285" s="17"/>
      <c r="B285" s="17"/>
      <c r="D285" s="18"/>
      <c r="E285" s="18"/>
      <c r="F285" s="18"/>
      <c r="G285" s="18"/>
      <c r="H285" s="58"/>
      <c r="I285" s="21"/>
      <c r="J285" s="22"/>
    </row>
    <row r="286" spans="1:10" ht="13.2" x14ac:dyDescent="0.25">
      <c r="A286" s="17"/>
      <c r="B286" s="17"/>
      <c r="D286" s="18"/>
      <c r="E286" s="18"/>
      <c r="F286" s="18"/>
      <c r="G286" s="18"/>
      <c r="H286" s="58"/>
      <c r="I286" s="21"/>
      <c r="J286" s="22"/>
    </row>
    <row r="287" spans="1:10" ht="13.2" x14ac:dyDescent="0.25">
      <c r="A287" s="17"/>
      <c r="B287" s="17"/>
      <c r="D287" s="18"/>
      <c r="E287" s="18"/>
      <c r="F287" s="18"/>
      <c r="G287" s="18"/>
      <c r="H287" s="58"/>
      <c r="I287" s="21"/>
      <c r="J287" s="22"/>
    </row>
    <row r="288" spans="1:10" ht="13.2" x14ac:dyDescent="0.25">
      <c r="A288" s="17"/>
      <c r="B288" s="17"/>
      <c r="D288" s="18"/>
      <c r="E288" s="18"/>
      <c r="F288" s="18"/>
      <c r="G288" s="18"/>
      <c r="H288" s="58"/>
      <c r="I288" s="21"/>
      <c r="J288" s="22"/>
    </row>
    <row r="289" spans="1:10" ht="13.2" x14ac:dyDescent="0.25">
      <c r="A289" s="17"/>
      <c r="B289" s="17"/>
      <c r="D289" s="18"/>
      <c r="E289" s="18"/>
      <c r="F289" s="18"/>
      <c r="G289" s="18"/>
      <c r="H289" s="58"/>
      <c r="I289" s="21"/>
      <c r="J289" s="22"/>
    </row>
    <row r="290" spans="1:10" ht="13.2" x14ac:dyDescent="0.25">
      <c r="A290" s="17"/>
      <c r="B290" s="17"/>
      <c r="D290" s="18"/>
      <c r="E290" s="18"/>
      <c r="F290" s="18"/>
      <c r="G290" s="18"/>
      <c r="H290" s="58"/>
      <c r="I290" s="21"/>
      <c r="J290" s="22"/>
    </row>
    <row r="291" spans="1:10" ht="13.2" x14ac:dyDescent="0.25">
      <c r="A291" s="17"/>
      <c r="B291" s="17"/>
      <c r="D291" s="18"/>
      <c r="E291" s="18"/>
      <c r="F291" s="18"/>
      <c r="G291" s="18"/>
      <c r="H291" s="58"/>
      <c r="I291" s="21"/>
      <c r="J291" s="22"/>
    </row>
    <row r="292" spans="1:10" ht="13.2" x14ac:dyDescent="0.25">
      <c r="A292" s="17"/>
      <c r="B292" s="17"/>
      <c r="D292" s="18"/>
      <c r="E292" s="18"/>
      <c r="F292" s="18"/>
      <c r="G292" s="18"/>
      <c r="H292" s="58"/>
      <c r="I292" s="21"/>
      <c r="J292" s="22"/>
    </row>
    <row r="293" spans="1:10" ht="13.2" x14ac:dyDescent="0.25">
      <c r="A293" s="17"/>
      <c r="B293" s="17"/>
      <c r="D293" s="18"/>
      <c r="E293" s="18"/>
      <c r="F293" s="18"/>
      <c r="G293" s="18"/>
      <c r="H293" s="58"/>
      <c r="I293" s="21"/>
      <c r="J293" s="22"/>
    </row>
    <row r="294" spans="1:10" ht="13.2" x14ac:dyDescent="0.25">
      <c r="A294" s="17"/>
      <c r="B294" s="17"/>
      <c r="D294" s="18"/>
      <c r="E294" s="18"/>
      <c r="F294" s="18"/>
      <c r="G294" s="18"/>
      <c r="H294" s="58"/>
      <c r="I294" s="21"/>
      <c r="J294" s="22"/>
    </row>
    <row r="295" spans="1:10" ht="13.2" x14ac:dyDescent="0.25">
      <c r="A295" s="17"/>
      <c r="B295" s="17"/>
      <c r="D295" s="18"/>
      <c r="E295" s="18"/>
      <c r="F295" s="18"/>
      <c r="G295" s="18"/>
      <c r="H295" s="58"/>
      <c r="I295" s="21"/>
      <c r="J295" s="22"/>
    </row>
    <row r="296" spans="1:10" ht="13.2" x14ac:dyDescent="0.25">
      <c r="A296" s="17"/>
      <c r="B296" s="17"/>
      <c r="D296" s="18"/>
      <c r="E296" s="18"/>
      <c r="F296" s="18"/>
      <c r="G296" s="18"/>
      <c r="H296" s="58"/>
      <c r="I296" s="21"/>
      <c r="J296" s="22"/>
    </row>
    <row r="297" spans="1:10" ht="13.2" x14ac:dyDescent="0.25">
      <c r="A297" s="17"/>
      <c r="B297" s="17"/>
      <c r="D297" s="18"/>
      <c r="E297" s="18"/>
      <c r="F297" s="18"/>
      <c r="G297" s="18"/>
      <c r="H297" s="58"/>
      <c r="I297" s="21"/>
      <c r="J297" s="22"/>
    </row>
    <row r="298" spans="1:10" ht="13.2" x14ac:dyDescent="0.25">
      <c r="A298" s="17"/>
      <c r="B298" s="17"/>
      <c r="D298" s="18"/>
      <c r="E298" s="18"/>
      <c r="F298" s="18"/>
      <c r="G298" s="18"/>
      <c r="H298" s="58"/>
      <c r="I298" s="21"/>
      <c r="J298" s="22"/>
    </row>
    <row r="299" spans="1:10" ht="13.2" x14ac:dyDescent="0.25">
      <c r="A299" s="17"/>
      <c r="B299" s="17"/>
      <c r="D299" s="18"/>
      <c r="E299" s="18"/>
      <c r="F299" s="18"/>
      <c r="G299" s="18"/>
      <c r="H299" s="58"/>
      <c r="I299" s="21"/>
      <c r="J299" s="22"/>
    </row>
    <row r="300" spans="1:10" ht="13.2" x14ac:dyDescent="0.25">
      <c r="A300" s="17"/>
      <c r="B300" s="17"/>
      <c r="D300" s="18"/>
      <c r="E300" s="18"/>
      <c r="F300" s="18"/>
      <c r="G300" s="18"/>
      <c r="H300" s="58"/>
      <c r="I300" s="21"/>
      <c r="J300" s="22"/>
    </row>
    <row r="301" spans="1:10" ht="13.2" x14ac:dyDescent="0.25">
      <c r="A301" s="17"/>
      <c r="B301" s="17"/>
      <c r="D301" s="18"/>
      <c r="E301" s="18"/>
      <c r="F301" s="18"/>
      <c r="G301" s="18"/>
      <c r="H301" s="58"/>
      <c r="I301" s="21"/>
      <c r="J301" s="22"/>
    </row>
    <row r="302" spans="1:10" ht="13.2" x14ac:dyDescent="0.25">
      <c r="A302" s="17"/>
      <c r="B302" s="17"/>
      <c r="D302" s="18"/>
      <c r="E302" s="18"/>
      <c r="F302" s="18"/>
      <c r="G302" s="18"/>
      <c r="H302" s="58"/>
      <c r="I302" s="21"/>
      <c r="J302" s="22"/>
    </row>
    <row r="303" spans="1:10" ht="13.2" x14ac:dyDescent="0.25">
      <c r="A303" s="17"/>
      <c r="B303" s="17"/>
      <c r="D303" s="18"/>
      <c r="E303" s="18"/>
      <c r="F303" s="18"/>
      <c r="G303" s="18"/>
      <c r="H303" s="58"/>
      <c r="I303" s="21"/>
      <c r="J303" s="22"/>
    </row>
    <row r="304" spans="1:10" ht="13.2" x14ac:dyDescent="0.25">
      <c r="A304" s="17"/>
      <c r="B304" s="17"/>
      <c r="D304" s="18"/>
      <c r="E304" s="18"/>
      <c r="F304" s="18"/>
      <c r="G304" s="18"/>
      <c r="H304" s="58"/>
      <c r="I304" s="21"/>
      <c r="J304" s="22"/>
    </row>
    <row r="305" spans="1:10" ht="13.2" x14ac:dyDescent="0.25">
      <c r="A305" s="17"/>
      <c r="B305" s="17"/>
      <c r="D305" s="18"/>
      <c r="E305" s="18"/>
      <c r="F305" s="18"/>
      <c r="G305" s="18"/>
      <c r="H305" s="58"/>
      <c r="I305" s="21"/>
      <c r="J305" s="22"/>
    </row>
    <row r="306" spans="1:10" ht="13.2" x14ac:dyDescent="0.25">
      <c r="A306" s="17"/>
      <c r="B306" s="17"/>
      <c r="D306" s="18"/>
      <c r="E306" s="18"/>
      <c r="F306" s="18"/>
      <c r="G306" s="18"/>
      <c r="H306" s="58"/>
      <c r="I306" s="21"/>
      <c r="J306" s="22"/>
    </row>
    <row r="307" spans="1:10" ht="13.2" x14ac:dyDescent="0.25">
      <c r="A307" s="17"/>
      <c r="B307" s="17"/>
      <c r="D307" s="18"/>
      <c r="E307" s="18"/>
      <c r="F307" s="18"/>
      <c r="G307" s="18"/>
      <c r="H307" s="58"/>
      <c r="I307" s="21"/>
      <c r="J307" s="22"/>
    </row>
    <row r="308" spans="1:10" ht="13.2" x14ac:dyDescent="0.25">
      <c r="A308" s="17"/>
      <c r="B308" s="17"/>
      <c r="D308" s="18"/>
      <c r="E308" s="18"/>
      <c r="F308" s="18"/>
      <c r="G308" s="18"/>
      <c r="H308" s="58"/>
      <c r="I308" s="21"/>
      <c r="J308" s="22"/>
    </row>
    <row r="309" spans="1:10" ht="13.2" x14ac:dyDescent="0.25">
      <c r="A309" s="17"/>
      <c r="B309" s="17"/>
      <c r="D309" s="18"/>
      <c r="E309" s="18"/>
      <c r="F309" s="18"/>
      <c r="G309" s="18"/>
      <c r="H309" s="58"/>
      <c r="I309" s="21"/>
      <c r="J309" s="22"/>
    </row>
    <row r="310" spans="1:10" ht="13.2" x14ac:dyDescent="0.25">
      <c r="A310" s="17"/>
      <c r="B310" s="17"/>
      <c r="D310" s="18"/>
      <c r="E310" s="18"/>
      <c r="F310" s="18"/>
      <c r="G310" s="18"/>
      <c r="H310" s="58"/>
      <c r="I310" s="21"/>
      <c r="J310" s="22"/>
    </row>
    <row r="311" spans="1:10" ht="13.2" x14ac:dyDescent="0.25">
      <c r="A311" s="17"/>
      <c r="B311" s="17"/>
      <c r="D311" s="18"/>
      <c r="E311" s="18"/>
      <c r="F311" s="18"/>
      <c r="G311" s="18"/>
      <c r="H311" s="58"/>
      <c r="I311" s="21"/>
      <c r="J311" s="22"/>
    </row>
    <row r="312" spans="1:10" ht="13.2" x14ac:dyDescent="0.25">
      <c r="A312" s="17"/>
      <c r="B312" s="17"/>
      <c r="D312" s="18"/>
      <c r="E312" s="18"/>
      <c r="F312" s="18"/>
      <c r="G312" s="18"/>
      <c r="H312" s="58"/>
      <c r="I312" s="21"/>
      <c r="J312" s="22"/>
    </row>
    <row r="313" spans="1:10" ht="13.2" x14ac:dyDescent="0.25">
      <c r="A313" s="17"/>
      <c r="B313" s="17"/>
      <c r="D313" s="18"/>
      <c r="E313" s="18"/>
      <c r="F313" s="18"/>
      <c r="G313" s="18"/>
      <c r="H313" s="58"/>
      <c r="I313" s="21"/>
      <c r="J313" s="22"/>
    </row>
    <row r="314" spans="1:10" ht="13.2" x14ac:dyDescent="0.25">
      <c r="A314" s="17"/>
      <c r="B314" s="17"/>
      <c r="D314" s="18"/>
      <c r="E314" s="18"/>
      <c r="F314" s="18"/>
      <c r="G314" s="18"/>
      <c r="H314" s="58"/>
      <c r="I314" s="21"/>
      <c r="J314" s="22"/>
    </row>
    <row r="315" spans="1:10" ht="13.2" x14ac:dyDescent="0.25">
      <c r="A315" s="17"/>
      <c r="B315" s="17"/>
      <c r="D315" s="18"/>
      <c r="E315" s="18"/>
      <c r="F315" s="18"/>
      <c r="G315" s="18"/>
      <c r="H315" s="58"/>
      <c r="I315" s="21"/>
      <c r="J315" s="22"/>
    </row>
    <row r="316" spans="1:10" ht="13.2" x14ac:dyDescent="0.25">
      <c r="A316" s="17"/>
      <c r="B316" s="17"/>
      <c r="D316" s="18"/>
      <c r="E316" s="18"/>
      <c r="F316" s="18"/>
      <c r="G316" s="18"/>
      <c r="H316" s="58"/>
      <c r="I316" s="21"/>
      <c r="J316" s="22"/>
    </row>
    <row r="317" spans="1:10" ht="13.2" x14ac:dyDescent="0.25">
      <c r="A317" s="17"/>
      <c r="B317" s="17"/>
      <c r="D317" s="18"/>
      <c r="E317" s="18"/>
      <c r="F317" s="18"/>
      <c r="G317" s="18"/>
      <c r="H317" s="58"/>
      <c r="I317" s="21"/>
      <c r="J317" s="22"/>
    </row>
    <row r="318" spans="1:10" ht="13.2" x14ac:dyDescent="0.25">
      <c r="A318" s="17"/>
      <c r="B318" s="17"/>
      <c r="D318" s="18"/>
      <c r="E318" s="18"/>
      <c r="F318" s="18"/>
      <c r="G318" s="18"/>
      <c r="H318" s="58"/>
      <c r="I318" s="21"/>
      <c r="J318" s="22"/>
    </row>
    <row r="319" spans="1:10" ht="13.2" x14ac:dyDescent="0.25">
      <c r="A319" s="17"/>
      <c r="B319" s="17"/>
      <c r="D319" s="18"/>
      <c r="E319" s="18"/>
      <c r="F319" s="18"/>
      <c r="G319" s="18"/>
      <c r="H319" s="58"/>
      <c r="I319" s="21"/>
      <c r="J319" s="22"/>
    </row>
    <row r="320" spans="1:10" ht="13.2" x14ac:dyDescent="0.25">
      <c r="A320" s="17"/>
      <c r="B320" s="17"/>
      <c r="D320" s="18"/>
      <c r="E320" s="18"/>
      <c r="F320" s="18"/>
      <c r="G320" s="18"/>
      <c r="H320" s="58"/>
      <c r="I320" s="21"/>
      <c r="J320" s="22"/>
    </row>
    <row r="321" spans="1:10" ht="13.2" x14ac:dyDescent="0.25">
      <c r="A321" s="17"/>
      <c r="B321" s="17"/>
      <c r="D321" s="18"/>
      <c r="E321" s="18"/>
      <c r="F321" s="18"/>
      <c r="G321" s="18"/>
      <c r="H321" s="58"/>
      <c r="I321" s="21"/>
      <c r="J321" s="22"/>
    </row>
    <row r="322" spans="1:10" ht="13.2" x14ac:dyDescent="0.25">
      <c r="A322" s="17"/>
      <c r="B322" s="17"/>
      <c r="D322" s="18"/>
      <c r="E322" s="18"/>
      <c r="F322" s="18"/>
      <c r="G322" s="18"/>
      <c r="H322" s="58"/>
      <c r="I322" s="21"/>
      <c r="J322" s="22"/>
    </row>
    <row r="323" spans="1:10" ht="13.2" x14ac:dyDescent="0.25">
      <c r="A323" s="17"/>
      <c r="B323" s="17"/>
      <c r="D323" s="18"/>
      <c r="E323" s="18"/>
      <c r="F323" s="18"/>
      <c r="G323" s="18"/>
      <c r="H323" s="58"/>
      <c r="I323" s="21"/>
      <c r="J323" s="22"/>
    </row>
    <row r="324" spans="1:10" ht="13.2" x14ac:dyDescent="0.25">
      <c r="A324" s="17"/>
      <c r="B324" s="17"/>
      <c r="D324" s="18"/>
      <c r="E324" s="18"/>
      <c r="F324" s="18"/>
      <c r="G324" s="18"/>
      <c r="H324" s="58"/>
      <c r="I324" s="21"/>
      <c r="J324" s="22"/>
    </row>
    <row r="325" spans="1:10" ht="13.2" x14ac:dyDescent="0.25">
      <c r="A325" s="17"/>
      <c r="B325" s="17"/>
      <c r="D325" s="18"/>
      <c r="E325" s="18"/>
      <c r="F325" s="18"/>
      <c r="G325" s="18"/>
      <c r="H325" s="58"/>
      <c r="I325" s="21"/>
      <c r="J325" s="22"/>
    </row>
    <row r="326" spans="1:10" ht="13.2" x14ac:dyDescent="0.25">
      <c r="A326" s="17"/>
      <c r="B326" s="17"/>
      <c r="D326" s="18"/>
      <c r="E326" s="18"/>
      <c r="F326" s="18"/>
      <c r="G326" s="18"/>
      <c r="H326" s="58"/>
      <c r="I326" s="21"/>
      <c r="J326" s="22"/>
    </row>
    <row r="327" spans="1:10" ht="13.2" x14ac:dyDescent="0.25">
      <c r="A327" s="17"/>
      <c r="B327" s="17"/>
      <c r="D327" s="18"/>
      <c r="E327" s="18"/>
      <c r="F327" s="18"/>
      <c r="G327" s="18"/>
      <c r="H327" s="58"/>
      <c r="I327" s="21"/>
      <c r="J327" s="22"/>
    </row>
    <row r="328" spans="1:10" ht="13.2" x14ac:dyDescent="0.25">
      <c r="A328" s="17"/>
      <c r="B328" s="17"/>
      <c r="D328" s="18"/>
      <c r="E328" s="18"/>
      <c r="F328" s="18"/>
      <c r="G328" s="18"/>
      <c r="H328" s="58"/>
      <c r="I328" s="21"/>
      <c r="J328" s="22"/>
    </row>
    <row r="329" spans="1:10" ht="13.2" x14ac:dyDescent="0.25">
      <c r="A329" s="17"/>
      <c r="B329" s="17"/>
      <c r="D329" s="18"/>
      <c r="E329" s="18"/>
      <c r="F329" s="18"/>
      <c r="G329" s="18"/>
      <c r="H329" s="58"/>
      <c r="I329" s="21"/>
      <c r="J329" s="22"/>
    </row>
    <row r="330" spans="1:10" ht="13.2" x14ac:dyDescent="0.25">
      <c r="A330" s="17"/>
      <c r="B330" s="17"/>
      <c r="D330" s="18"/>
      <c r="E330" s="18"/>
      <c r="F330" s="18"/>
      <c r="G330" s="18"/>
      <c r="H330" s="58"/>
      <c r="I330" s="21"/>
      <c r="J330" s="22"/>
    </row>
    <row r="331" spans="1:10" ht="13.2" x14ac:dyDescent="0.25">
      <c r="A331" s="17"/>
      <c r="B331" s="17"/>
      <c r="D331" s="18"/>
      <c r="E331" s="18"/>
      <c r="F331" s="18"/>
      <c r="G331" s="18"/>
      <c r="H331" s="58"/>
      <c r="I331" s="21"/>
      <c r="J331" s="22"/>
    </row>
    <row r="332" spans="1:10" ht="13.2" x14ac:dyDescent="0.25">
      <c r="A332" s="17"/>
      <c r="B332" s="17"/>
      <c r="D332" s="18"/>
      <c r="E332" s="18"/>
      <c r="F332" s="18"/>
      <c r="G332" s="18"/>
      <c r="H332" s="58"/>
      <c r="I332" s="21"/>
      <c r="J332" s="22"/>
    </row>
    <row r="333" spans="1:10" ht="13.2" x14ac:dyDescent="0.25">
      <c r="A333" s="17"/>
      <c r="B333" s="17"/>
      <c r="D333" s="18"/>
      <c r="E333" s="18"/>
      <c r="F333" s="18"/>
      <c r="G333" s="18"/>
      <c r="H333" s="58"/>
      <c r="I333" s="21"/>
      <c r="J333" s="22"/>
    </row>
    <row r="334" spans="1:10" ht="13.2" x14ac:dyDescent="0.25">
      <c r="A334" s="17"/>
      <c r="B334" s="17"/>
      <c r="D334" s="18"/>
      <c r="E334" s="18"/>
      <c r="F334" s="18"/>
      <c r="G334" s="18"/>
      <c r="H334" s="58"/>
      <c r="I334" s="21"/>
      <c r="J334" s="22"/>
    </row>
    <row r="335" spans="1:10" ht="13.2" x14ac:dyDescent="0.25">
      <c r="A335" s="17"/>
      <c r="B335" s="17"/>
      <c r="D335" s="18"/>
      <c r="E335" s="18"/>
      <c r="F335" s="18"/>
      <c r="G335" s="18"/>
      <c r="H335" s="58"/>
      <c r="I335" s="21"/>
      <c r="J335" s="22"/>
    </row>
    <row r="336" spans="1:10" ht="13.2" x14ac:dyDescent="0.25">
      <c r="A336" s="17"/>
      <c r="B336" s="17"/>
      <c r="D336" s="18"/>
      <c r="E336" s="18"/>
      <c r="F336" s="18"/>
      <c r="G336" s="18"/>
      <c r="H336" s="58"/>
      <c r="I336" s="21"/>
      <c r="J336" s="22"/>
    </row>
    <row r="337" spans="1:10" ht="13.2" x14ac:dyDescent="0.25">
      <c r="A337" s="17"/>
      <c r="B337" s="17"/>
      <c r="D337" s="18"/>
      <c r="E337" s="18"/>
      <c r="F337" s="18"/>
      <c r="G337" s="18"/>
      <c r="H337" s="58"/>
      <c r="I337" s="21"/>
      <c r="J337" s="22"/>
    </row>
    <row r="338" spans="1:10" ht="13.2" x14ac:dyDescent="0.25">
      <c r="A338" s="17"/>
      <c r="B338" s="17"/>
      <c r="D338" s="18"/>
      <c r="E338" s="18"/>
      <c r="F338" s="18"/>
      <c r="G338" s="18"/>
      <c r="H338" s="58"/>
      <c r="I338" s="21"/>
      <c r="J338" s="22"/>
    </row>
    <row r="339" spans="1:10" ht="13.2" x14ac:dyDescent="0.25">
      <c r="A339" s="17"/>
      <c r="B339" s="17"/>
      <c r="D339" s="18"/>
      <c r="E339" s="18"/>
      <c r="F339" s="18"/>
      <c r="G339" s="18"/>
      <c r="H339" s="58"/>
      <c r="I339" s="21"/>
      <c r="J339" s="22"/>
    </row>
    <row r="340" spans="1:10" ht="13.2" x14ac:dyDescent="0.25">
      <c r="A340" s="17"/>
      <c r="B340" s="17"/>
      <c r="D340" s="18"/>
      <c r="E340" s="18"/>
      <c r="F340" s="18"/>
      <c r="G340" s="18"/>
      <c r="H340" s="58"/>
      <c r="I340" s="21"/>
      <c r="J340" s="22"/>
    </row>
    <row r="341" spans="1:10" ht="13.2" x14ac:dyDescent="0.25">
      <c r="A341" s="17"/>
      <c r="B341" s="17"/>
      <c r="D341" s="18"/>
      <c r="E341" s="18"/>
      <c r="F341" s="18"/>
      <c r="G341" s="18"/>
      <c r="H341" s="58"/>
      <c r="I341" s="21"/>
      <c r="J341" s="22"/>
    </row>
    <row r="342" spans="1:10" ht="13.2" x14ac:dyDescent="0.25">
      <c r="A342" s="17"/>
      <c r="B342" s="17"/>
      <c r="D342" s="18"/>
      <c r="E342" s="18"/>
      <c r="F342" s="18"/>
      <c r="G342" s="18"/>
      <c r="H342" s="58"/>
      <c r="I342" s="21"/>
      <c r="J342" s="22"/>
    </row>
    <row r="343" spans="1:10" ht="13.2" x14ac:dyDescent="0.25">
      <c r="A343" s="17"/>
      <c r="B343" s="17"/>
      <c r="D343" s="18"/>
      <c r="E343" s="18"/>
      <c r="F343" s="18"/>
      <c r="G343" s="18"/>
      <c r="H343" s="58"/>
      <c r="I343" s="21"/>
      <c r="J343" s="22"/>
    </row>
    <row r="344" spans="1:10" ht="13.2" x14ac:dyDescent="0.25">
      <c r="A344" s="17"/>
      <c r="B344" s="17"/>
      <c r="D344" s="18"/>
      <c r="E344" s="18"/>
      <c r="F344" s="18"/>
      <c r="G344" s="18"/>
      <c r="H344" s="58"/>
      <c r="I344" s="21"/>
      <c r="J344" s="22"/>
    </row>
    <row r="345" spans="1:10" ht="13.2" x14ac:dyDescent="0.25">
      <c r="A345" s="17"/>
      <c r="B345" s="17"/>
      <c r="D345" s="18"/>
      <c r="E345" s="18"/>
      <c r="F345" s="18"/>
      <c r="G345" s="18"/>
      <c r="H345" s="58"/>
      <c r="I345" s="21"/>
      <c r="J345" s="22"/>
    </row>
    <row r="346" spans="1:10" ht="13.2" x14ac:dyDescent="0.25">
      <c r="A346" s="17"/>
      <c r="B346" s="17"/>
      <c r="D346" s="18"/>
      <c r="E346" s="18"/>
      <c r="F346" s="18"/>
      <c r="G346" s="18"/>
      <c r="H346" s="58"/>
      <c r="I346" s="21"/>
      <c r="J346" s="22"/>
    </row>
    <row r="347" spans="1:10" ht="13.2" x14ac:dyDescent="0.25">
      <c r="A347" s="17"/>
      <c r="B347" s="17"/>
      <c r="D347" s="18"/>
      <c r="E347" s="18"/>
      <c r="F347" s="18"/>
      <c r="G347" s="18"/>
      <c r="H347" s="58"/>
      <c r="I347" s="21"/>
      <c r="J347" s="22"/>
    </row>
    <row r="348" spans="1:10" ht="13.2" x14ac:dyDescent="0.25">
      <c r="A348" s="17"/>
      <c r="B348" s="17"/>
      <c r="D348" s="18"/>
      <c r="E348" s="18"/>
      <c r="F348" s="18"/>
      <c r="G348" s="18"/>
      <c r="H348" s="58"/>
      <c r="I348" s="21"/>
      <c r="J348" s="22"/>
    </row>
    <row r="349" spans="1:10" ht="13.2" x14ac:dyDescent="0.25">
      <c r="A349" s="17"/>
      <c r="B349" s="17"/>
      <c r="D349" s="18"/>
      <c r="E349" s="18"/>
      <c r="F349" s="18"/>
      <c r="G349" s="18"/>
      <c r="H349" s="58"/>
      <c r="I349" s="21"/>
      <c r="J349" s="22"/>
    </row>
    <row r="350" spans="1:10" ht="13.2" x14ac:dyDescent="0.25">
      <c r="A350" s="17"/>
      <c r="B350" s="17"/>
      <c r="D350" s="18"/>
      <c r="E350" s="18"/>
      <c r="F350" s="18"/>
      <c r="G350" s="18"/>
      <c r="H350" s="58"/>
      <c r="I350" s="21"/>
      <c r="J350" s="22"/>
    </row>
    <row r="351" spans="1:10" ht="13.2" x14ac:dyDescent="0.25">
      <c r="A351" s="17"/>
      <c r="B351" s="17"/>
      <c r="D351" s="18"/>
      <c r="E351" s="18"/>
      <c r="F351" s="18"/>
      <c r="G351" s="18"/>
      <c r="H351" s="58"/>
      <c r="I351" s="21"/>
      <c r="J351" s="22"/>
    </row>
    <row r="352" spans="1:10" ht="13.2" x14ac:dyDescent="0.25">
      <c r="A352" s="17"/>
      <c r="B352" s="17"/>
      <c r="D352" s="18"/>
      <c r="E352" s="18"/>
      <c r="F352" s="18"/>
      <c r="G352" s="18"/>
      <c r="H352" s="58"/>
      <c r="I352" s="21"/>
      <c r="J352" s="22"/>
    </row>
    <row r="353" spans="1:10" ht="13.2" x14ac:dyDescent="0.25">
      <c r="A353" s="17"/>
      <c r="B353" s="17"/>
      <c r="D353" s="18"/>
      <c r="E353" s="18"/>
      <c r="F353" s="18"/>
      <c r="G353" s="18"/>
      <c r="H353" s="58"/>
      <c r="I353" s="21"/>
      <c r="J353" s="22"/>
    </row>
    <row r="354" spans="1:10" ht="13.2" x14ac:dyDescent="0.25">
      <c r="A354" s="17"/>
      <c r="B354" s="17"/>
      <c r="D354" s="18"/>
      <c r="E354" s="18"/>
      <c r="F354" s="18"/>
      <c r="G354" s="18"/>
      <c r="H354" s="58"/>
      <c r="I354" s="21"/>
      <c r="J354" s="22"/>
    </row>
    <row r="355" spans="1:10" ht="13.2" x14ac:dyDescent="0.25">
      <c r="A355" s="17"/>
      <c r="B355" s="17"/>
      <c r="D355" s="18"/>
      <c r="E355" s="18"/>
      <c r="F355" s="18"/>
      <c r="G355" s="18"/>
      <c r="H355" s="58"/>
      <c r="I355" s="21"/>
      <c r="J355" s="22"/>
    </row>
    <row r="356" spans="1:10" ht="13.2" x14ac:dyDescent="0.25">
      <c r="A356" s="17"/>
      <c r="B356" s="17"/>
      <c r="D356" s="18"/>
      <c r="E356" s="18"/>
      <c r="F356" s="18"/>
      <c r="G356" s="18"/>
      <c r="H356" s="58"/>
      <c r="I356" s="21"/>
      <c r="J356" s="22"/>
    </row>
    <row r="357" spans="1:10" ht="13.2" x14ac:dyDescent="0.25">
      <c r="A357" s="17"/>
      <c r="B357" s="17"/>
      <c r="D357" s="18"/>
      <c r="E357" s="18"/>
      <c r="F357" s="18"/>
      <c r="G357" s="18"/>
      <c r="H357" s="58"/>
      <c r="I357" s="21"/>
      <c r="J357" s="22"/>
    </row>
    <row r="358" spans="1:10" ht="13.2" x14ac:dyDescent="0.25">
      <c r="A358" s="17"/>
      <c r="B358" s="17"/>
      <c r="D358" s="18"/>
      <c r="E358" s="18"/>
      <c r="F358" s="18"/>
      <c r="G358" s="18"/>
      <c r="H358" s="58"/>
      <c r="I358" s="21"/>
      <c r="J358" s="22"/>
    </row>
    <row r="359" spans="1:10" ht="13.2" x14ac:dyDescent="0.25">
      <c r="A359" s="17"/>
      <c r="B359" s="17"/>
      <c r="D359" s="18"/>
      <c r="E359" s="18"/>
      <c r="F359" s="18"/>
      <c r="G359" s="18"/>
      <c r="H359" s="58"/>
      <c r="I359" s="21"/>
      <c r="J359" s="22"/>
    </row>
    <row r="360" spans="1:10" ht="13.2" x14ac:dyDescent="0.25">
      <c r="A360" s="17"/>
      <c r="B360" s="17"/>
      <c r="D360" s="18"/>
      <c r="E360" s="18"/>
      <c r="F360" s="18"/>
      <c r="G360" s="18"/>
      <c r="H360" s="58"/>
      <c r="I360" s="21"/>
      <c r="J360" s="22"/>
    </row>
    <row r="361" spans="1:10" ht="13.2" x14ac:dyDescent="0.25">
      <c r="A361" s="17"/>
      <c r="B361" s="17"/>
      <c r="D361" s="18"/>
      <c r="E361" s="18"/>
      <c r="F361" s="18"/>
      <c r="G361" s="18"/>
      <c r="H361" s="58"/>
      <c r="I361" s="21"/>
      <c r="J361" s="22"/>
    </row>
    <row r="362" spans="1:10" ht="13.2" x14ac:dyDescent="0.25">
      <c r="A362" s="17"/>
      <c r="B362" s="17"/>
      <c r="D362" s="18"/>
      <c r="E362" s="18"/>
      <c r="F362" s="18"/>
      <c r="G362" s="18"/>
      <c r="H362" s="58"/>
      <c r="I362" s="21"/>
      <c r="J362" s="22"/>
    </row>
    <row r="363" spans="1:10" ht="13.2" x14ac:dyDescent="0.25">
      <c r="A363" s="17"/>
      <c r="B363" s="17"/>
      <c r="D363" s="18"/>
      <c r="E363" s="18"/>
      <c r="F363" s="18"/>
      <c r="G363" s="18"/>
      <c r="H363" s="58"/>
      <c r="I363" s="21"/>
      <c r="J363" s="22"/>
    </row>
    <row r="364" spans="1:10" ht="13.2" x14ac:dyDescent="0.25">
      <c r="A364" s="17"/>
      <c r="B364" s="17"/>
      <c r="D364" s="18"/>
      <c r="E364" s="18"/>
      <c r="F364" s="18"/>
      <c r="G364" s="18"/>
      <c r="H364" s="58"/>
      <c r="I364" s="21"/>
      <c r="J364" s="22"/>
    </row>
    <row r="365" spans="1:10" ht="13.2" x14ac:dyDescent="0.25">
      <c r="A365" s="17"/>
      <c r="B365" s="17"/>
      <c r="D365" s="18"/>
      <c r="E365" s="18"/>
      <c r="F365" s="18"/>
      <c r="G365" s="18"/>
      <c r="H365" s="58"/>
      <c r="I365" s="21"/>
      <c r="J365" s="22"/>
    </row>
    <row r="366" spans="1:10" ht="13.2" x14ac:dyDescent="0.25">
      <c r="A366" s="17"/>
      <c r="B366" s="17"/>
      <c r="D366" s="18"/>
      <c r="E366" s="18"/>
      <c r="F366" s="18"/>
      <c r="G366" s="18"/>
      <c r="H366" s="58"/>
      <c r="I366" s="21"/>
      <c r="J366" s="22"/>
    </row>
    <row r="367" spans="1:10" ht="13.2" x14ac:dyDescent="0.25">
      <c r="A367" s="17"/>
      <c r="B367" s="17"/>
      <c r="D367" s="18"/>
      <c r="E367" s="18"/>
      <c r="F367" s="18"/>
      <c r="G367" s="18"/>
      <c r="H367" s="58"/>
      <c r="I367" s="21"/>
      <c r="J367" s="22"/>
    </row>
    <row r="368" spans="1:10" ht="13.2" x14ac:dyDescent="0.25">
      <c r="A368" s="17"/>
      <c r="B368" s="17"/>
      <c r="D368" s="18"/>
      <c r="E368" s="18"/>
      <c r="F368" s="18"/>
      <c r="G368" s="18"/>
      <c r="H368" s="58"/>
      <c r="I368" s="21"/>
      <c r="J368" s="22"/>
    </row>
    <row r="369" spans="1:10" ht="13.2" x14ac:dyDescent="0.25">
      <c r="A369" s="17"/>
      <c r="B369" s="17"/>
      <c r="D369" s="18"/>
      <c r="E369" s="18"/>
      <c r="F369" s="18"/>
      <c r="G369" s="18"/>
      <c r="H369" s="58"/>
      <c r="I369" s="21"/>
      <c r="J369" s="22"/>
    </row>
    <row r="370" spans="1:10" ht="13.2" x14ac:dyDescent="0.25">
      <c r="A370" s="17"/>
      <c r="B370" s="17"/>
      <c r="D370" s="18"/>
      <c r="E370" s="18"/>
      <c r="F370" s="18"/>
      <c r="G370" s="18"/>
      <c r="H370" s="58"/>
      <c r="I370" s="21"/>
      <c r="J370" s="22"/>
    </row>
    <row r="371" spans="1:10" ht="13.2" x14ac:dyDescent="0.25">
      <c r="A371" s="17"/>
      <c r="B371" s="17"/>
      <c r="D371" s="18"/>
      <c r="E371" s="18"/>
      <c r="F371" s="18"/>
      <c r="G371" s="18"/>
      <c r="H371" s="58"/>
      <c r="I371" s="21"/>
      <c r="J371" s="22"/>
    </row>
    <row r="372" spans="1:10" ht="13.2" x14ac:dyDescent="0.25">
      <c r="A372" s="17"/>
      <c r="B372" s="17"/>
      <c r="D372" s="18"/>
      <c r="E372" s="18"/>
      <c r="F372" s="18"/>
      <c r="G372" s="18"/>
      <c r="H372" s="58"/>
      <c r="I372" s="21"/>
      <c r="J372" s="22"/>
    </row>
    <row r="373" spans="1:10" ht="13.2" x14ac:dyDescent="0.25">
      <c r="A373" s="17"/>
      <c r="B373" s="17"/>
      <c r="D373" s="18"/>
      <c r="E373" s="18"/>
      <c r="F373" s="18"/>
      <c r="G373" s="18"/>
      <c r="H373" s="58"/>
      <c r="I373" s="21"/>
      <c r="J373" s="22"/>
    </row>
    <row r="374" spans="1:10" ht="13.2" x14ac:dyDescent="0.25">
      <c r="A374" s="17"/>
      <c r="B374" s="17"/>
      <c r="D374" s="18"/>
      <c r="E374" s="18"/>
      <c r="F374" s="18"/>
      <c r="G374" s="18"/>
      <c r="H374" s="58"/>
      <c r="I374" s="21"/>
      <c r="J374" s="22"/>
    </row>
    <row r="375" spans="1:10" ht="13.2" x14ac:dyDescent="0.25">
      <c r="A375" s="17"/>
      <c r="B375" s="17"/>
      <c r="D375" s="18"/>
      <c r="E375" s="18"/>
      <c r="F375" s="18"/>
      <c r="G375" s="18"/>
      <c r="H375" s="58"/>
      <c r="I375" s="21"/>
      <c r="J375" s="22"/>
    </row>
    <row r="376" spans="1:10" ht="13.2" x14ac:dyDescent="0.25">
      <c r="A376" s="17"/>
      <c r="B376" s="17"/>
      <c r="D376" s="18"/>
      <c r="E376" s="18"/>
      <c r="F376" s="18"/>
      <c r="G376" s="18"/>
      <c r="H376" s="58"/>
      <c r="I376" s="21"/>
      <c r="J376" s="22"/>
    </row>
    <row r="377" spans="1:10" ht="13.2" x14ac:dyDescent="0.25">
      <c r="A377" s="17"/>
      <c r="B377" s="17"/>
      <c r="D377" s="18"/>
      <c r="E377" s="18"/>
      <c r="F377" s="18"/>
      <c r="G377" s="18"/>
      <c r="H377" s="58"/>
      <c r="I377" s="21"/>
      <c r="J377" s="22"/>
    </row>
    <row r="378" spans="1:10" ht="13.2" x14ac:dyDescent="0.25">
      <c r="A378" s="17"/>
      <c r="B378" s="17"/>
      <c r="D378" s="18"/>
      <c r="E378" s="18"/>
      <c r="F378" s="18"/>
      <c r="G378" s="18"/>
      <c r="H378" s="58"/>
      <c r="I378" s="21"/>
      <c r="J378" s="22"/>
    </row>
    <row r="379" spans="1:10" ht="13.2" x14ac:dyDescent="0.25">
      <c r="A379" s="17"/>
      <c r="B379" s="17"/>
      <c r="D379" s="18"/>
      <c r="E379" s="18"/>
      <c r="F379" s="18"/>
      <c r="G379" s="18"/>
      <c r="H379" s="58"/>
      <c r="I379" s="21"/>
      <c r="J379" s="22"/>
    </row>
    <row r="380" spans="1:10" ht="13.2" x14ac:dyDescent="0.25">
      <c r="A380" s="17"/>
      <c r="B380" s="17"/>
      <c r="D380" s="18"/>
      <c r="E380" s="18"/>
      <c r="F380" s="18"/>
      <c r="G380" s="18"/>
      <c r="H380" s="58"/>
      <c r="I380" s="21"/>
      <c r="J380" s="22"/>
    </row>
    <row r="381" spans="1:10" ht="13.2" x14ac:dyDescent="0.25">
      <c r="A381" s="17"/>
      <c r="B381" s="17"/>
      <c r="D381" s="18"/>
      <c r="E381" s="18"/>
      <c r="F381" s="18"/>
      <c r="G381" s="18"/>
      <c r="H381" s="58"/>
      <c r="I381" s="21"/>
      <c r="J381" s="22"/>
    </row>
    <row r="382" spans="1:10" ht="13.2" x14ac:dyDescent="0.25">
      <c r="A382" s="17"/>
      <c r="B382" s="17"/>
      <c r="D382" s="18"/>
      <c r="E382" s="18"/>
      <c r="F382" s="18"/>
      <c r="G382" s="18"/>
      <c r="H382" s="58"/>
      <c r="I382" s="21"/>
      <c r="J382" s="22"/>
    </row>
    <row r="383" spans="1:10" ht="13.2" x14ac:dyDescent="0.25">
      <c r="A383" s="17"/>
      <c r="B383" s="17"/>
      <c r="D383" s="18"/>
      <c r="E383" s="18"/>
      <c r="F383" s="18"/>
      <c r="G383" s="18"/>
      <c r="H383" s="58"/>
      <c r="I383" s="21"/>
      <c r="J383" s="22"/>
    </row>
    <row r="384" spans="1:10" ht="13.2" x14ac:dyDescent="0.25">
      <c r="A384" s="17"/>
      <c r="B384" s="17"/>
      <c r="D384" s="18"/>
      <c r="E384" s="18"/>
      <c r="F384" s="18"/>
      <c r="G384" s="18"/>
      <c r="H384" s="58"/>
      <c r="I384" s="21"/>
      <c r="J384" s="22"/>
    </row>
    <row r="385" spans="1:10" ht="13.2" x14ac:dyDescent="0.25">
      <c r="A385" s="17"/>
      <c r="B385" s="17"/>
      <c r="D385" s="18"/>
      <c r="E385" s="18"/>
      <c r="F385" s="18"/>
      <c r="G385" s="18"/>
      <c r="H385" s="58"/>
      <c r="I385" s="21"/>
      <c r="J385" s="22"/>
    </row>
    <row r="386" spans="1:10" ht="13.2" x14ac:dyDescent="0.25">
      <c r="A386" s="17"/>
      <c r="B386" s="17"/>
      <c r="D386" s="18"/>
      <c r="E386" s="18"/>
      <c r="F386" s="18"/>
      <c r="G386" s="18"/>
      <c r="H386" s="58"/>
      <c r="I386" s="21"/>
      <c r="J386" s="22"/>
    </row>
    <row r="387" spans="1:10" ht="13.2" x14ac:dyDescent="0.25">
      <c r="A387" s="17"/>
      <c r="B387" s="17"/>
      <c r="D387" s="18"/>
      <c r="E387" s="18"/>
      <c r="F387" s="18"/>
      <c r="G387" s="18"/>
      <c r="H387" s="58"/>
      <c r="I387" s="21"/>
      <c r="J387" s="22"/>
    </row>
    <row r="388" spans="1:10" ht="13.2" x14ac:dyDescent="0.25">
      <c r="A388" s="17"/>
      <c r="B388" s="17"/>
      <c r="D388" s="18"/>
      <c r="E388" s="18"/>
      <c r="F388" s="18"/>
      <c r="G388" s="18"/>
      <c r="H388" s="58"/>
      <c r="I388" s="21"/>
      <c r="J388" s="22"/>
    </row>
    <row r="389" spans="1:10" ht="13.2" x14ac:dyDescent="0.25">
      <c r="A389" s="17"/>
      <c r="B389" s="17"/>
      <c r="D389" s="18"/>
      <c r="E389" s="18"/>
      <c r="F389" s="18"/>
      <c r="G389" s="18"/>
      <c r="H389" s="58"/>
      <c r="I389" s="21"/>
      <c r="J389" s="22"/>
    </row>
    <row r="390" spans="1:10" ht="13.2" x14ac:dyDescent="0.25">
      <c r="A390" s="17"/>
      <c r="B390" s="17"/>
      <c r="D390" s="18"/>
      <c r="E390" s="18"/>
      <c r="F390" s="18"/>
      <c r="G390" s="18"/>
      <c r="H390" s="58"/>
      <c r="I390" s="21"/>
      <c r="J390" s="22"/>
    </row>
    <row r="391" spans="1:10" ht="13.2" x14ac:dyDescent="0.25">
      <c r="A391" s="17"/>
      <c r="B391" s="17"/>
      <c r="D391" s="18"/>
      <c r="E391" s="18"/>
      <c r="F391" s="18"/>
      <c r="G391" s="18"/>
      <c r="H391" s="58"/>
      <c r="I391" s="21"/>
      <c r="J391" s="22"/>
    </row>
    <row r="392" spans="1:10" ht="13.2" x14ac:dyDescent="0.25">
      <c r="A392" s="17"/>
      <c r="B392" s="17"/>
      <c r="D392" s="18"/>
      <c r="E392" s="18"/>
      <c r="F392" s="18"/>
      <c r="G392" s="18"/>
      <c r="H392" s="58"/>
      <c r="I392" s="21"/>
      <c r="J392" s="22"/>
    </row>
    <row r="393" spans="1:10" ht="13.2" x14ac:dyDescent="0.25">
      <c r="A393" s="17"/>
      <c r="B393" s="17"/>
      <c r="D393" s="18"/>
      <c r="E393" s="18"/>
      <c r="F393" s="18"/>
      <c r="G393" s="18"/>
      <c r="H393" s="58"/>
      <c r="I393" s="21"/>
      <c r="J393" s="22"/>
    </row>
    <row r="394" spans="1:10" ht="13.2" x14ac:dyDescent="0.25">
      <c r="A394" s="17"/>
      <c r="B394" s="17"/>
      <c r="D394" s="18"/>
      <c r="E394" s="18"/>
      <c r="F394" s="18"/>
      <c r="G394" s="18"/>
      <c r="H394" s="58"/>
      <c r="I394" s="21"/>
      <c r="J394" s="22"/>
    </row>
    <row r="395" spans="1:10" ht="13.2" x14ac:dyDescent="0.25">
      <c r="A395" s="17"/>
      <c r="B395" s="17"/>
      <c r="D395" s="18"/>
      <c r="E395" s="18"/>
      <c r="F395" s="18"/>
      <c r="G395" s="18"/>
      <c r="H395" s="58"/>
      <c r="I395" s="21"/>
      <c r="J395" s="22"/>
    </row>
    <row r="396" spans="1:10" ht="13.2" x14ac:dyDescent="0.25">
      <c r="A396" s="17"/>
      <c r="B396" s="17"/>
      <c r="D396" s="18"/>
      <c r="E396" s="18"/>
      <c r="F396" s="18"/>
      <c r="G396" s="18"/>
      <c r="H396" s="58"/>
      <c r="I396" s="21"/>
      <c r="J396" s="22"/>
    </row>
    <row r="397" spans="1:10" ht="13.2" x14ac:dyDescent="0.25">
      <c r="A397" s="17"/>
      <c r="B397" s="17"/>
      <c r="D397" s="18"/>
      <c r="E397" s="18"/>
      <c r="F397" s="18"/>
      <c r="G397" s="18"/>
      <c r="H397" s="58"/>
      <c r="I397" s="21"/>
      <c r="J397" s="22"/>
    </row>
    <row r="398" spans="1:10" ht="13.2" x14ac:dyDescent="0.25">
      <c r="A398" s="17"/>
      <c r="B398" s="17"/>
      <c r="D398" s="18"/>
      <c r="E398" s="18"/>
      <c r="F398" s="18"/>
      <c r="G398" s="18"/>
      <c r="H398" s="58"/>
      <c r="I398" s="21"/>
      <c r="J398" s="22"/>
    </row>
    <row r="399" spans="1:10" ht="13.2" x14ac:dyDescent="0.25">
      <c r="A399" s="17"/>
      <c r="B399" s="17"/>
      <c r="D399" s="18"/>
      <c r="E399" s="18"/>
      <c r="F399" s="18"/>
      <c r="G399" s="18"/>
      <c r="H399" s="58"/>
      <c r="I399" s="21"/>
      <c r="J399" s="22"/>
    </row>
    <row r="400" spans="1:10" ht="13.2" x14ac:dyDescent="0.25">
      <c r="A400" s="17"/>
      <c r="B400" s="17"/>
      <c r="D400" s="18"/>
      <c r="E400" s="18"/>
      <c r="F400" s="18"/>
      <c r="G400" s="18"/>
      <c r="H400" s="58"/>
      <c r="I400" s="21"/>
      <c r="J400" s="22"/>
    </row>
    <row r="401" spans="1:10" ht="13.2" x14ac:dyDescent="0.25">
      <c r="A401" s="17"/>
      <c r="B401" s="17"/>
      <c r="D401" s="18"/>
      <c r="E401" s="18"/>
      <c r="F401" s="18"/>
      <c r="G401" s="18"/>
      <c r="H401" s="58"/>
      <c r="I401" s="21"/>
      <c r="J401" s="22"/>
    </row>
    <row r="402" spans="1:10" ht="13.2" x14ac:dyDescent="0.25">
      <c r="A402" s="17"/>
      <c r="B402" s="17"/>
      <c r="D402" s="18"/>
      <c r="E402" s="18"/>
      <c r="F402" s="18"/>
      <c r="G402" s="18"/>
      <c r="H402" s="58"/>
      <c r="I402" s="21"/>
      <c r="J402" s="22"/>
    </row>
    <row r="403" spans="1:10" ht="13.2" x14ac:dyDescent="0.25">
      <c r="A403" s="17"/>
      <c r="B403" s="17"/>
      <c r="D403" s="18"/>
      <c r="E403" s="18"/>
      <c r="F403" s="18"/>
      <c r="G403" s="18"/>
      <c r="H403" s="58"/>
      <c r="I403" s="21"/>
      <c r="J403" s="22"/>
    </row>
    <row r="404" spans="1:10" ht="13.2" x14ac:dyDescent="0.25">
      <c r="A404" s="17"/>
      <c r="B404" s="17"/>
      <c r="D404" s="18"/>
      <c r="E404" s="18"/>
      <c r="F404" s="18"/>
      <c r="G404" s="18"/>
      <c r="H404" s="58"/>
      <c r="I404" s="21"/>
      <c r="J404" s="22"/>
    </row>
    <row r="405" spans="1:10" ht="13.2" x14ac:dyDescent="0.25">
      <c r="A405" s="17"/>
      <c r="B405" s="17"/>
      <c r="D405" s="18"/>
      <c r="E405" s="18"/>
      <c r="F405" s="18"/>
      <c r="G405" s="18"/>
      <c r="H405" s="58"/>
      <c r="I405" s="21"/>
      <c r="J405" s="22"/>
    </row>
    <row r="406" spans="1:10" ht="13.2" x14ac:dyDescent="0.25">
      <c r="A406" s="17"/>
      <c r="B406" s="17"/>
      <c r="D406" s="18"/>
      <c r="E406" s="18"/>
      <c r="F406" s="18"/>
      <c r="G406" s="18"/>
      <c r="H406" s="58"/>
      <c r="I406" s="21"/>
      <c r="J406" s="22"/>
    </row>
    <row r="407" spans="1:10" ht="13.2" x14ac:dyDescent="0.25">
      <c r="A407" s="17"/>
      <c r="B407" s="17"/>
      <c r="D407" s="18"/>
      <c r="E407" s="18"/>
      <c r="F407" s="18"/>
      <c r="G407" s="18"/>
      <c r="H407" s="58"/>
      <c r="I407" s="21"/>
      <c r="J407" s="22"/>
    </row>
    <row r="408" spans="1:10" ht="13.2" x14ac:dyDescent="0.25">
      <c r="A408" s="17"/>
      <c r="B408" s="17"/>
      <c r="D408" s="18"/>
      <c r="E408" s="18"/>
      <c r="F408" s="18"/>
      <c r="G408" s="18"/>
      <c r="H408" s="58"/>
      <c r="I408" s="21"/>
      <c r="J408" s="22"/>
    </row>
    <row r="409" spans="1:10" ht="13.2" x14ac:dyDescent="0.25">
      <c r="A409" s="17"/>
      <c r="B409" s="17"/>
      <c r="D409" s="18"/>
      <c r="E409" s="18"/>
      <c r="F409" s="18"/>
      <c r="G409" s="18"/>
      <c r="H409" s="58"/>
      <c r="I409" s="21"/>
      <c r="J409" s="22"/>
    </row>
    <row r="410" spans="1:10" ht="13.2" x14ac:dyDescent="0.25">
      <c r="A410" s="17"/>
      <c r="B410" s="17"/>
      <c r="D410" s="18"/>
      <c r="E410" s="18"/>
      <c r="F410" s="18"/>
      <c r="G410" s="18"/>
      <c r="H410" s="58"/>
      <c r="I410" s="21"/>
      <c r="J410" s="22"/>
    </row>
    <row r="411" spans="1:10" ht="13.2" x14ac:dyDescent="0.25">
      <c r="A411" s="17"/>
      <c r="B411" s="17"/>
      <c r="D411" s="18"/>
      <c r="E411" s="18"/>
      <c r="F411" s="18"/>
      <c r="G411" s="18"/>
      <c r="H411" s="58"/>
      <c r="I411" s="21"/>
      <c r="J411" s="22"/>
    </row>
    <row r="412" spans="1:10" ht="13.2" x14ac:dyDescent="0.25">
      <c r="A412" s="17"/>
      <c r="B412" s="17"/>
      <c r="D412" s="18"/>
      <c r="E412" s="18"/>
      <c r="F412" s="18"/>
      <c r="G412" s="18"/>
      <c r="H412" s="58"/>
      <c r="I412" s="21"/>
      <c r="J412" s="22"/>
    </row>
    <row r="413" spans="1:10" ht="13.2" x14ac:dyDescent="0.25">
      <c r="A413" s="17"/>
      <c r="B413" s="17"/>
      <c r="D413" s="18"/>
      <c r="E413" s="18"/>
      <c r="F413" s="18"/>
      <c r="G413" s="18"/>
      <c r="H413" s="58"/>
      <c r="I413" s="21"/>
      <c r="J413" s="22"/>
    </row>
    <row r="414" spans="1:10" ht="13.2" x14ac:dyDescent="0.25">
      <c r="A414" s="17"/>
      <c r="B414" s="17"/>
      <c r="D414" s="18"/>
      <c r="E414" s="18"/>
      <c r="F414" s="18"/>
      <c r="G414" s="18"/>
      <c r="H414" s="58"/>
      <c r="I414" s="21"/>
      <c r="J414" s="22"/>
    </row>
    <row r="415" spans="1:10" ht="13.2" x14ac:dyDescent="0.25">
      <c r="A415" s="17"/>
      <c r="B415" s="17"/>
      <c r="D415" s="18"/>
      <c r="E415" s="18"/>
      <c r="F415" s="18"/>
      <c r="G415" s="18"/>
      <c r="H415" s="58"/>
      <c r="I415" s="21"/>
      <c r="J415" s="22"/>
    </row>
    <row r="416" spans="1:10" ht="13.2" x14ac:dyDescent="0.25">
      <c r="A416" s="17"/>
      <c r="B416" s="17"/>
      <c r="D416" s="18"/>
      <c r="E416" s="18"/>
      <c r="F416" s="18"/>
      <c r="G416" s="18"/>
      <c r="H416" s="58"/>
      <c r="I416" s="21"/>
      <c r="J416" s="22"/>
    </row>
    <row r="417" spans="1:10" ht="13.2" x14ac:dyDescent="0.25">
      <c r="A417" s="17"/>
      <c r="B417" s="17"/>
      <c r="D417" s="18"/>
      <c r="E417" s="18"/>
      <c r="F417" s="18"/>
      <c r="G417" s="18"/>
      <c r="H417" s="58"/>
      <c r="I417" s="21"/>
      <c r="J417" s="22"/>
    </row>
    <row r="418" spans="1:10" ht="13.2" x14ac:dyDescent="0.25">
      <c r="A418" s="17"/>
      <c r="B418" s="17"/>
      <c r="D418" s="18"/>
      <c r="E418" s="18"/>
      <c r="F418" s="18"/>
      <c r="G418" s="18"/>
      <c r="H418" s="58"/>
      <c r="I418" s="21"/>
      <c r="J418" s="22"/>
    </row>
    <row r="419" spans="1:10" ht="13.2" x14ac:dyDescent="0.25">
      <c r="A419" s="17"/>
      <c r="B419" s="17"/>
      <c r="D419" s="18"/>
      <c r="E419" s="18"/>
      <c r="F419" s="18"/>
      <c r="G419" s="18"/>
      <c r="H419" s="58"/>
      <c r="I419" s="21"/>
      <c r="J419" s="22"/>
    </row>
    <row r="420" spans="1:10" ht="13.2" x14ac:dyDescent="0.25">
      <c r="A420" s="17"/>
      <c r="B420" s="17"/>
      <c r="D420" s="18"/>
      <c r="E420" s="18"/>
      <c r="F420" s="18"/>
      <c r="G420" s="18"/>
      <c r="H420" s="58"/>
      <c r="I420" s="21"/>
      <c r="J420" s="22"/>
    </row>
    <row r="421" spans="1:10" ht="13.2" x14ac:dyDescent="0.25">
      <c r="A421" s="17"/>
      <c r="B421" s="17"/>
      <c r="D421" s="18"/>
      <c r="E421" s="18"/>
      <c r="F421" s="18"/>
      <c r="G421" s="18"/>
      <c r="H421" s="58"/>
      <c r="I421" s="21"/>
      <c r="J421" s="22"/>
    </row>
    <row r="422" spans="1:10" ht="13.2" x14ac:dyDescent="0.25">
      <c r="A422" s="17"/>
      <c r="B422" s="17"/>
      <c r="D422" s="18"/>
      <c r="E422" s="18"/>
      <c r="F422" s="18"/>
      <c r="G422" s="18"/>
      <c r="H422" s="58"/>
      <c r="I422" s="21"/>
      <c r="J422" s="22"/>
    </row>
    <row r="423" spans="1:10" ht="13.2" x14ac:dyDescent="0.25">
      <c r="A423" s="17"/>
      <c r="B423" s="17"/>
      <c r="D423" s="18"/>
      <c r="E423" s="18"/>
      <c r="F423" s="18"/>
      <c r="G423" s="18"/>
      <c r="H423" s="58"/>
      <c r="I423" s="21"/>
      <c r="J423" s="22"/>
    </row>
    <row r="424" spans="1:10" ht="13.2" x14ac:dyDescent="0.25">
      <c r="A424" s="17"/>
      <c r="B424" s="17"/>
      <c r="D424" s="18"/>
      <c r="E424" s="18"/>
      <c r="F424" s="18"/>
      <c r="G424" s="18"/>
      <c r="H424" s="58"/>
      <c r="I424" s="21"/>
      <c r="J424" s="22"/>
    </row>
    <row r="425" spans="1:10" ht="13.2" x14ac:dyDescent="0.25">
      <c r="A425" s="17"/>
      <c r="B425" s="17"/>
      <c r="D425" s="18"/>
      <c r="E425" s="18"/>
      <c r="F425" s="18"/>
      <c r="G425" s="18"/>
      <c r="H425" s="58"/>
      <c r="I425" s="21"/>
      <c r="J425" s="22"/>
    </row>
    <row r="426" spans="1:10" ht="13.2" x14ac:dyDescent="0.25">
      <c r="A426" s="17"/>
      <c r="B426" s="17"/>
      <c r="D426" s="18"/>
      <c r="E426" s="18"/>
      <c r="F426" s="18"/>
      <c r="G426" s="18"/>
      <c r="H426" s="58"/>
      <c r="I426" s="21"/>
      <c r="J426" s="22"/>
    </row>
    <row r="427" spans="1:10" ht="13.2" x14ac:dyDescent="0.25">
      <c r="A427" s="17"/>
      <c r="B427" s="17"/>
      <c r="D427" s="18"/>
      <c r="E427" s="18"/>
      <c r="F427" s="18"/>
      <c r="G427" s="18"/>
      <c r="H427" s="58"/>
      <c r="I427" s="21"/>
      <c r="J427" s="22"/>
    </row>
    <row r="428" spans="1:10" ht="13.2" x14ac:dyDescent="0.25">
      <c r="A428" s="17"/>
      <c r="B428" s="17"/>
      <c r="D428" s="18"/>
      <c r="E428" s="18"/>
      <c r="F428" s="18"/>
      <c r="G428" s="18"/>
      <c r="H428" s="58"/>
      <c r="I428" s="21"/>
      <c r="J428" s="22"/>
    </row>
    <row r="429" spans="1:10" ht="13.2" x14ac:dyDescent="0.25">
      <c r="A429" s="17"/>
      <c r="B429" s="17"/>
      <c r="D429" s="18"/>
      <c r="E429" s="18"/>
      <c r="F429" s="18"/>
      <c r="G429" s="18"/>
      <c r="H429" s="58"/>
      <c r="I429" s="21"/>
      <c r="J429" s="22"/>
    </row>
    <row r="430" spans="1:10" ht="13.2" x14ac:dyDescent="0.25">
      <c r="A430" s="17"/>
      <c r="B430" s="17"/>
      <c r="D430" s="18"/>
      <c r="E430" s="18"/>
      <c r="F430" s="18"/>
      <c r="G430" s="18"/>
      <c r="H430" s="58"/>
      <c r="I430" s="21"/>
      <c r="J430" s="22"/>
    </row>
    <row r="431" spans="1:10" ht="13.2" x14ac:dyDescent="0.25">
      <c r="A431" s="17"/>
      <c r="B431" s="17"/>
      <c r="D431" s="18"/>
      <c r="E431" s="18"/>
      <c r="F431" s="18"/>
      <c r="G431" s="18"/>
      <c r="H431" s="58"/>
      <c r="I431" s="21"/>
      <c r="J431" s="22"/>
    </row>
    <row r="432" spans="1:10" ht="13.2" x14ac:dyDescent="0.25">
      <c r="A432" s="17"/>
      <c r="B432" s="17"/>
      <c r="D432" s="18"/>
      <c r="E432" s="18"/>
      <c r="F432" s="18"/>
      <c r="G432" s="18"/>
      <c r="H432" s="58"/>
      <c r="I432" s="21"/>
      <c r="J432" s="22"/>
    </row>
    <row r="433" spans="1:10" ht="13.2" x14ac:dyDescent="0.25">
      <c r="A433" s="17"/>
      <c r="B433" s="17"/>
      <c r="D433" s="18"/>
      <c r="E433" s="18"/>
      <c r="F433" s="18"/>
      <c r="G433" s="18"/>
      <c r="H433" s="58"/>
      <c r="I433" s="21"/>
      <c r="J433" s="22"/>
    </row>
    <row r="434" spans="1:10" ht="13.2" x14ac:dyDescent="0.25">
      <c r="A434" s="17"/>
      <c r="B434" s="17"/>
      <c r="D434" s="18"/>
      <c r="E434" s="18"/>
      <c r="F434" s="18"/>
      <c r="G434" s="18"/>
      <c r="H434" s="58"/>
      <c r="I434" s="21"/>
      <c r="J434" s="22"/>
    </row>
    <row r="435" spans="1:10" ht="13.2" x14ac:dyDescent="0.25">
      <c r="A435" s="17"/>
      <c r="B435" s="17"/>
      <c r="D435" s="18"/>
      <c r="E435" s="18"/>
      <c r="F435" s="18"/>
      <c r="G435" s="18"/>
      <c r="H435" s="58"/>
      <c r="I435" s="21"/>
      <c r="J435" s="22"/>
    </row>
    <row r="436" spans="1:10" ht="13.2" x14ac:dyDescent="0.25">
      <c r="A436" s="17"/>
      <c r="B436" s="17"/>
      <c r="D436" s="18"/>
      <c r="E436" s="18"/>
      <c r="F436" s="18"/>
      <c r="G436" s="18"/>
      <c r="H436" s="58"/>
      <c r="I436" s="21"/>
      <c r="J436" s="22"/>
    </row>
    <row r="437" spans="1:10" ht="13.2" x14ac:dyDescent="0.25">
      <c r="A437" s="17"/>
      <c r="B437" s="17"/>
      <c r="D437" s="18"/>
      <c r="E437" s="18"/>
      <c r="F437" s="18"/>
      <c r="G437" s="18"/>
      <c r="H437" s="58"/>
      <c r="I437" s="21"/>
      <c r="J437" s="22"/>
    </row>
    <row r="438" spans="1:10" ht="13.2" x14ac:dyDescent="0.25">
      <c r="A438" s="17"/>
      <c r="B438" s="17"/>
      <c r="D438" s="18"/>
      <c r="E438" s="18"/>
      <c r="F438" s="18"/>
      <c r="G438" s="18"/>
      <c r="H438" s="58"/>
      <c r="I438" s="21"/>
      <c r="J438" s="22"/>
    </row>
    <row r="439" spans="1:10" ht="13.2" x14ac:dyDescent="0.25">
      <c r="A439" s="17"/>
      <c r="B439" s="17"/>
      <c r="D439" s="18"/>
      <c r="E439" s="18"/>
      <c r="F439" s="18"/>
      <c r="G439" s="18"/>
      <c r="H439" s="58"/>
      <c r="I439" s="21"/>
      <c r="J439" s="22"/>
    </row>
    <row r="440" spans="1:10" ht="13.2" x14ac:dyDescent="0.25">
      <c r="A440" s="17"/>
      <c r="B440" s="17"/>
      <c r="D440" s="18"/>
      <c r="E440" s="18"/>
      <c r="F440" s="18"/>
      <c r="G440" s="18"/>
      <c r="H440" s="58"/>
      <c r="I440" s="21"/>
      <c r="J440" s="22"/>
    </row>
    <row r="441" spans="1:10" ht="13.2" x14ac:dyDescent="0.25">
      <c r="A441" s="17"/>
      <c r="B441" s="17"/>
      <c r="D441" s="18"/>
      <c r="E441" s="18"/>
      <c r="F441" s="18"/>
      <c r="G441" s="18"/>
      <c r="H441" s="58"/>
      <c r="I441" s="21"/>
      <c r="J441" s="22"/>
    </row>
    <row r="442" spans="1:10" ht="13.2" x14ac:dyDescent="0.25">
      <c r="A442" s="17"/>
      <c r="B442" s="17"/>
      <c r="D442" s="18"/>
      <c r="E442" s="18"/>
      <c r="F442" s="18"/>
      <c r="G442" s="18"/>
      <c r="H442" s="58"/>
      <c r="I442" s="21"/>
      <c r="J442" s="22"/>
    </row>
    <row r="443" spans="1:10" ht="13.2" x14ac:dyDescent="0.25">
      <c r="A443" s="17"/>
      <c r="B443" s="17"/>
      <c r="D443" s="18"/>
      <c r="E443" s="18"/>
      <c r="F443" s="18"/>
      <c r="G443" s="18"/>
      <c r="H443" s="58"/>
      <c r="I443" s="21"/>
      <c r="J443" s="22"/>
    </row>
    <row r="444" spans="1:10" ht="13.2" x14ac:dyDescent="0.25">
      <c r="A444" s="17"/>
      <c r="B444" s="17"/>
      <c r="D444" s="18"/>
      <c r="E444" s="18"/>
      <c r="F444" s="18"/>
      <c r="G444" s="18"/>
      <c r="H444" s="58"/>
      <c r="I444" s="21"/>
      <c r="J444" s="22"/>
    </row>
    <row r="445" spans="1:10" ht="13.2" x14ac:dyDescent="0.25">
      <c r="A445" s="17"/>
      <c r="B445" s="17"/>
      <c r="D445" s="18"/>
      <c r="E445" s="18"/>
      <c r="F445" s="18"/>
      <c r="G445" s="18"/>
      <c r="H445" s="58"/>
      <c r="I445" s="21"/>
      <c r="J445" s="22"/>
    </row>
    <row r="446" spans="1:10" ht="13.2" x14ac:dyDescent="0.25">
      <c r="A446" s="17"/>
      <c r="B446" s="17"/>
      <c r="D446" s="18"/>
      <c r="E446" s="18"/>
      <c r="F446" s="18"/>
      <c r="G446" s="18"/>
      <c r="H446" s="58"/>
      <c r="I446" s="21"/>
      <c r="J446" s="22"/>
    </row>
    <row r="447" spans="1:10" ht="13.2" x14ac:dyDescent="0.25">
      <c r="A447" s="17"/>
      <c r="B447" s="17"/>
      <c r="D447" s="18"/>
      <c r="E447" s="18"/>
      <c r="F447" s="18"/>
      <c r="G447" s="18"/>
      <c r="H447" s="58"/>
      <c r="I447" s="21"/>
      <c r="J447" s="22"/>
    </row>
    <row r="448" spans="1:10" ht="13.2" x14ac:dyDescent="0.25">
      <c r="A448" s="17"/>
      <c r="B448" s="17"/>
      <c r="D448" s="18"/>
      <c r="E448" s="18"/>
      <c r="F448" s="18"/>
      <c r="G448" s="18"/>
      <c r="H448" s="58"/>
      <c r="I448" s="21"/>
      <c r="J448" s="22"/>
    </row>
    <row r="449" spans="1:10" ht="13.2" x14ac:dyDescent="0.25">
      <c r="A449" s="17"/>
      <c r="B449" s="17"/>
      <c r="D449" s="18"/>
      <c r="E449" s="18"/>
      <c r="F449" s="18"/>
      <c r="G449" s="18"/>
      <c r="H449" s="58"/>
      <c r="I449" s="21"/>
      <c r="J449" s="22"/>
    </row>
    <row r="450" spans="1:10" ht="13.2" x14ac:dyDescent="0.25">
      <c r="A450" s="17"/>
      <c r="B450" s="17"/>
      <c r="D450" s="18"/>
      <c r="E450" s="18"/>
      <c r="F450" s="18"/>
      <c r="G450" s="18"/>
      <c r="H450" s="58"/>
      <c r="I450" s="21"/>
      <c r="J450" s="22"/>
    </row>
    <row r="451" spans="1:10" ht="13.2" x14ac:dyDescent="0.25">
      <c r="A451" s="17"/>
      <c r="B451" s="17"/>
      <c r="D451" s="18"/>
      <c r="E451" s="18"/>
      <c r="F451" s="18"/>
      <c r="G451" s="18"/>
      <c r="H451" s="58"/>
      <c r="I451" s="21"/>
      <c r="J451" s="22"/>
    </row>
    <row r="452" spans="1:10" ht="13.2" x14ac:dyDescent="0.25">
      <c r="A452" s="17"/>
      <c r="B452" s="17"/>
      <c r="D452" s="18"/>
      <c r="E452" s="18"/>
      <c r="F452" s="18"/>
      <c r="G452" s="18"/>
      <c r="H452" s="58"/>
      <c r="I452" s="21"/>
      <c r="J452" s="22"/>
    </row>
    <row r="453" spans="1:10" ht="13.2" x14ac:dyDescent="0.25">
      <c r="A453" s="17"/>
      <c r="B453" s="17"/>
      <c r="D453" s="18"/>
      <c r="E453" s="18"/>
      <c r="F453" s="18"/>
      <c r="G453" s="18"/>
      <c r="H453" s="58"/>
      <c r="I453" s="21"/>
      <c r="J453" s="22"/>
    </row>
    <row r="454" spans="1:10" ht="13.2" x14ac:dyDescent="0.25">
      <c r="A454" s="17"/>
      <c r="B454" s="17"/>
      <c r="D454" s="18"/>
      <c r="E454" s="18"/>
      <c r="F454" s="18"/>
      <c r="G454" s="18"/>
      <c r="H454" s="58"/>
      <c r="I454" s="21"/>
      <c r="J454" s="22"/>
    </row>
    <row r="455" spans="1:10" ht="13.2" x14ac:dyDescent="0.25">
      <c r="A455" s="17"/>
      <c r="B455" s="17"/>
      <c r="D455" s="18"/>
      <c r="E455" s="18"/>
      <c r="F455" s="18"/>
      <c r="G455" s="18"/>
      <c r="H455" s="58"/>
      <c r="I455" s="21"/>
      <c r="J455" s="22"/>
    </row>
    <row r="456" spans="1:10" ht="13.2" x14ac:dyDescent="0.25">
      <c r="A456" s="17"/>
      <c r="B456" s="17"/>
      <c r="D456" s="18"/>
      <c r="E456" s="18"/>
      <c r="F456" s="18"/>
      <c r="G456" s="18"/>
      <c r="H456" s="58"/>
      <c r="I456" s="21"/>
      <c r="J456" s="22"/>
    </row>
    <row r="457" spans="1:10" ht="13.2" x14ac:dyDescent="0.25">
      <c r="A457" s="17"/>
      <c r="B457" s="17"/>
      <c r="D457" s="18"/>
      <c r="E457" s="18"/>
      <c r="F457" s="18"/>
      <c r="G457" s="18"/>
      <c r="H457" s="58"/>
      <c r="I457" s="21"/>
      <c r="J457" s="22"/>
    </row>
    <row r="458" spans="1:10" ht="13.2" x14ac:dyDescent="0.25">
      <c r="A458" s="17"/>
      <c r="B458" s="17"/>
      <c r="D458" s="18"/>
      <c r="E458" s="18"/>
      <c r="F458" s="18"/>
      <c r="G458" s="18"/>
      <c r="H458" s="58"/>
      <c r="I458" s="21"/>
      <c r="J458" s="22"/>
    </row>
    <row r="459" spans="1:10" ht="13.2" x14ac:dyDescent="0.25">
      <c r="A459" s="17"/>
      <c r="B459" s="17"/>
      <c r="D459" s="18"/>
      <c r="E459" s="18"/>
      <c r="F459" s="18"/>
      <c r="G459" s="18"/>
      <c r="H459" s="58"/>
      <c r="I459" s="21"/>
      <c r="J459" s="22"/>
    </row>
    <row r="460" spans="1:10" ht="13.2" x14ac:dyDescent="0.25">
      <c r="A460" s="17"/>
      <c r="B460" s="17"/>
      <c r="D460" s="18"/>
      <c r="E460" s="18"/>
      <c r="F460" s="18"/>
      <c r="G460" s="18"/>
      <c r="H460" s="58"/>
      <c r="I460" s="21"/>
      <c r="J460" s="22"/>
    </row>
    <row r="461" spans="1:10" ht="13.2" x14ac:dyDescent="0.25">
      <c r="A461" s="17"/>
      <c r="B461" s="17"/>
      <c r="D461" s="18"/>
      <c r="E461" s="18"/>
      <c r="F461" s="18"/>
      <c r="G461" s="18"/>
      <c r="H461" s="58"/>
      <c r="I461" s="21"/>
      <c r="J461" s="22"/>
    </row>
    <row r="462" spans="1:10" ht="13.2" x14ac:dyDescent="0.25">
      <c r="A462" s="17"/>
      <c r="B462" s="17"/>
      <c r="D462" s="18"/>
      <c r="E462" s="18"/>
      <c r="F462" s="18"/>
      <c r="G462" s="18"/>
      <c r="H462" s="58"/>
      <c r="I462" s="21"/>
      <c r="J462" s="22"/>
    </row>
    <row r="463" spans="1:10" ht="13.2" x14ac:dyDescent="0.25">
      <c r="A463" s="17"/>
      <c r="B463" s="17"/>
      <c r="D463" s="18"/>
      <c r="E463" s="18"/>
      <c r="F463" s="18"/>
      <c r="G463" s="18"/>
      <c r="H463" s="58"/>
      <c r="I463" s="21"/>
      <c r="J463" s="22"/>
    </row>
    <row r="464" spans="1:10" ht="13.2" x14ac:dyDescent="0.25">
      <c r="A464" s="17"/>
      <c r="B464" s="17"/>
      <c r="D464" s="18"/>
      <c r="E464" s="18"/>
      <c r="F464" s="18"/>
      <c r="G464" s="18"/>
      <c r="H464" s="58"/>
      <c r="I464" s="21"/>
      <c r="J464" s="22"/>
    </row>
    <row r="465" spans="1:10" ht="13.2" x14ac:dyDescent="0.25">
      <c r="A465" s="17"/>
      <c r="B465" s="17"/>
      <c r="D465" s="18"/>
      <c r="E465" s="18"/>
      <c r="F465" s="18"/>
      <c r="G465" s="18"/>
      <c r="H465" s="58"/>
      <c r="I465" s="21"/>
      <c r="J465" s="22"/>
    </row>
    <row r="466" spans="1:10" ht="13.2" x14ac:dyDescent="0.25">
      <c r="A466" s="17"/>
      <c r="B466" s="17"/>
      <c r="D466" s="18"/>
      <c r="E466" s="18"/>
      <c r="F466" s="18"/>
      <c r="G466" s="18"/>
      <c r="H466" s="58"/>
      <c r="I466" s="21"/>
      <c r="J466" s="22"/>
    </row>
    <row r="467" spans="1:10" ht="13.2" x14ac:dyDescent="0.25">
      <c r="A467" s="17"/>
      <c r="B467" s="17"/>
      <c r="D467" s="18"/>
      <c r="E467" s="18"/>
      <c r="F467" s="18"/>
      <c r="G467" s="18"/>
      <c r="H467" s="58"/>
      <c r="I467" s="21"/>
      <c r="J467" s="22"/>
    </row>
    <row r="468" spans="1:10" ht="13.2" x14ac:dyDescent="0.25">
      <c r="A468" s="17"/>
      <c r="B468" s="17"/>
      <c r="D468" s="18"/>
      <c r="E468" s="18"/>
      <c r="F468" s="18"/>
      <c r="G468" s="18"/>
      <c r="H468" s="58"/>
      <c r="I468" s="21"/>
      <c r="J468" s="22"/>
    </row>
    <row r="469" spans="1:10" ht="13.2" x14ac:dyDescent="0.25">
      <c r="A469" s="17"/>
      <c r="B469" s="17"/>
      <c r="D469" s="18"/>
      <c r="E469" s="18"/>
      <c r="F469" s="18"/>
      <c r="G469" s="18"/>
      <c r="H469" s="58"/>
      <c r="I469" s="21"/>
      <c r="J469" s="22"/>
    </row>
    <row r="470" spans="1:10" ht="13.2" x14ac:dyDescent="0.25">
      <c r="A470" s="17"/>
      <c r="B470" s="17"/>
      <c r="D470" s="18"/>
      <c r="E470" s="18"/>
      <c r="F470" s="18"/>
      <c r="G470" s="18"/>
      <c r="H470" s="58"/>
      <c r="I470" s="21"/>
      <c r="J470" s="22"/>
    </row>
    <row r="471" spans="1:10" ht="13.2" x14ac:dyDescent="0.25">
      <c r="A471" s="17"/>
      <c r="B471" s="17"/>
      <c r="D471" s="18"/>
      <c r="E471" s="18"/>
      <c r="F471" s="18"/>
      <c r="G471" s="18"/>
      <c r="H471" s="58"/>
      <c r="I471" s="21"/>
      <c r="J471" s="22"/>
    </row>
    <row r="472" spans="1:10" ht="13.2" x14ac:dyDescent="0.25">
      <c r="A472" s="17"/>
      <c r="B472" s="17"/>
      <c r="D472" s="18"/>
      <c r="E472" s="18"/>
      <c r="F472" s="18"/>
      <c r="G472" s="18"/>
      <c r="H472" s="58"/>
      <c r="I472" s="21"/>
      <c r="J472" s="22"/>
    </row>
    <row r="473" spans="1:10" ht="13.2" x14ac:dyDescent="0.25">
      <c r="A473" s="17"/>
      <c r="B473" s="17"/>
      <c r="D473" s="18"/>
      <c r="E473" s="18"/>
      <c r="F473" s="18"/>
      <c r="G473" s="18"/>
      <c r="H473" s="58"/>
      <c r="I473" s="21"/>
      <c r="J473" s="22"/>
    </row>
    <row r="474" spans="1:10" ht="13.2" x14ac:dyDescent="0.25">
      <c r="A474" s="17"/>
      <c r="B474" s="17"/>
      <c r="D474" s="18"/>
      <c r="E474" s="18"/>
      <c r="F474" s="18"/>
      <c r="G474" s="18"/>
      <c r="H474" s="58"/>
      <c r="I474" s="21"/>
      <c r="J474" s="22"/>
    </row>
    <row r="475" spans="1:10" ht="13.2" x14ac:dyDescent="0.25">
      <c r="A475" s="17"/>
      <c r="B475" s="17"/>
      <c r="D475" s="18"/>
      <c r="E475" s="18"/>
      <c r="F475" s="18"/>
      <c r="G475" s="18"/>
      <c r="H475" s="58"/>
      <c r="I475" s="21"/>
      <c r="J475" s="22"/>
    </row>
    <row r="476" spans="1:10" ht="13.2" x14ac:dyDescent="0.25">
      <c r="A476" s="17"/>
      <c r="B476" s="17"/>
      <c r="D476" s="18"/>
      <c r="E476" s="18"/>
      <c r="F476" s="18"/>
      <c r="G476" s="18"/>
      <c r="H476" s="58"/>
      <c r="I476" s="21"/>
      <c r="J476" s="22"/>
    </row>
    <row r="477" spans="1:10" ht="13.2" x14ac:dyDescent="0.25">
      <c r="A477" s="17"/>
      <c r="B477" s="17"/>
      <c r="D477" s="18"/>
      <c r="E477" s="18"/>
      <c r="F477" s="18"/>
      <c r="G477" s="18"/>
      <c r="H477" s="58"/>
      <c r="I477" s="21"/>
      <c r="J477" s="22"/>
    </row>
    <row r="478" spans="1:10" ht="13.2" x14ac:dyDescent="0.25">
      <c r="A478" s="17"/>
      <c r="B478" s="17"/>
      <c r="D478" s="18"/>
      <c r="E478" s="18"/>
      <c r="F478" s="18"/>
      <c r="G478" s="18"/>
      <c r="H478" s="58"/>
      <c r="I478" s="21"/>
      <c r="J478" s="22"/>
    </row>
    <row r="479" spans="1:10" ht="13.2" x14ac:dyDescent="0.25">
      <c r="A479" s="17"/>
      <c r="B479" s="17"/>
      <c r="D479" s="18"/>
      <c r="E479" s="18"/>
      <c r="F479" s="18"/>
      <c r="G479" s="18"/>
      <c r="H479" s="58"/>
      <c r="I479" s="21"/>
      <c r="J479" s="22"/>
    </row>
    <row r="480" spans="1:10" ht="13.2" x14ac:dyDescent="0.25">
      <c r="A480" s="17"/>
      <c r="B480" s="17"/>
      <c r="D480" s="18"/>
      <c r="E480" s="18"/>
      <c r="F480" s="18"/>
      <c r="G480" s="18"/>
      <c r="H480" s="58"/>
      <c r="I480" s="21"/>
      <c r="J480" s="22"/>
    </row>
    <row r="481" spans="1:10" ht="13.2" x14ac:dyDescent="0.25">
      <c r="A481" s="17"/>
      <c r="B481" s="17"/>
      <c r="D481" s="18"/>
      <c r="E481" s="18"/>
      <c r="F481" s="18"/>
      <c r="G481" s="18"/>
      <c r="H481" s="58"/>
      <c r="I481" s="21"/>
      <c r="J481" s="22"/>
    </row>
    <row r="482" spans="1:10" ht="13.2" x14ac:dyDescent="0.25">
      <c r="A482" s="17"/>
      <c r="B482" s="17"/>
      <c r="D482" s="18"/>
      <c r="E482" s="18"/>
      <c r="F482" s="18"/>
      <c r="G482" s="18"/>
      <c r="H482" s="58"/>
      <c r="I482" s="21"/>
      <c r="J482" s="22"/>
    </row>
    <row r="483" spans="1:10" ht="13.2" x14ac:dyDescent="0.25">
      <c r="A483" s="17"/>
      <c r="B483" s="17"/>
      <c r="D483" s="18"/>
      <c r="E483" s="18"/>
      <c r="F483" s="18"/>
      <c r="G483" s="18"/>
      <c r="H483" s="58"/>
      <c r="I483" s="21"/>
      <c r="J483" s="22"/>
    </row>
    <row r="484" spans="1:10" ht="13.2" x14ac:dyDescent="0.25">
      <c r="A484" s="17"/>
      <c r="B484" s="17"/>
      <c r="D484" s="18"/>
      <c r="E484" s="18"/>
      <c r="F484" s="18"/>
      <c r="G484" s="18"/>
      <c r="H484" s="58"/>
      <c r="I484" s="21"/>
      <c r="J484" s="22"/>
    </row>
    <row r="485" spans="1:10" ht="13.2" x14ac:dyDescent="0.25">
      <c r="A485" s="17"/>
      <c r="B485" s="17"/>
      <c r="D485" s="18"/>
      <c r="E485" s="18"/>
      <c r="F485" s="18"/>
      <c r="G485" s="18"/>
      <c r="H485" s="58"/>
      <c r="I485" s="21"/>
      <c r="J485" s="22"/>
    </row>
    <row r="486" spans="1:10" ht="13.2" x14ac:dyDescent="0.25">
      <c r="A486" s="17"/>
      <c r="B486" s="17"/>
      <c r="D486" s="18"/>
      <c r="E486" s="18"/>
      <c r="F486" s="18"/>
      <c r="G486" s="18"/>
      <c r="H486" s="58"/>
      <c r="I486" s="21"/>
      <c r="J486" s="22"/>
    </row>
    <row r="487" spans="1:10" ht="13.2" x14ac:dyDescent="0.25">
      <c r="A487" s="17"/>
      <c r="B487" s="17"/>
      <c r="D487" s="18"/>
      <c r="E487" s="18"/>
      <c r="F487" s="18"/>
      <c r="G487" s="18"/>
      <c r="H487" s="58"/>
      <c r="I487" s="21"/>
      <c r="J487" s="22"/>
    </row>
    <row r="488" spans="1:10" ht="13.2" x14ac:dyDescent="0.25">
      <c r="A488" s="17"/>
      <c r="B488" s="17"/>
      <c r="D488" s="18"/>
      <c r="E488" s="18"/>
      <c r="F488" s="18"/>
      <c r="G488" s="18"/>
      <c r="H488" s="58"/>
      <c r="I488" s="21"/>
      <c r="J488" s="22"/>
    </row>
    <row r="489" spans="1:10" ht="13.2" x14ac:dyDescent="0.25">
      <c r="A489" s="17"/>
      <c r="B489" s="17"/>
      <c r="D489" s="18"/>
      <c r="E489" s="18"/>
      <c r="F489" s="18"/>
      <c r="G489" s="18"/>
      <c r="H489" s="58"/>
      <c r="I489" s="21"/>
      <c r="J489" s="22"/>
    </row>
    <row r="490" spans="1:10" ht="13.2" x14ac:dyDescent="0.25">
      <c r="A490" s="17"/>
      <c r="B490" s="17"/>
      <c r="D490" s="18"/>
      <c r="E490" s="18"/>
      <c r="F490" s="18"/>
      <c r="G490" s="18"/>
      <c r="H490" s="58"/>
      <c r="I490" s="21"/>
      <c r="J490" s="22"/>
    </row>
    <row r="491" spans="1:10" ht="13.2" x14ac:dyDescent="0.25">
      <c r="A491" s="17"/>
      <c r="B491" s="17"/>
      <c r="D491" s="18"/>
      <c r="E491" s="18"/>
      <c r="F491" s="18"/>
      <c r="G491" s="18"/>
      <c r="H491" s="58"/>
      <c r="I491" s="21"/>
      <c r="J491" s="22"/>
    </row>
    <row r="492" spans="1:10" ht="13.2" x14ac:dyDescent="0.25">
      <c r="A492" s="17"/>
      <c r="B492" s="17"/>
      <c r="D492" s="18"/>
      <c r="E492" s="18"/>
      <c r="F492" s="18"/>
      <c r="G492" s="18"/>
      <c r="H492" s="58"/>
      <c r="I492" s="21"/>
      <c r="J492" s="22"/>
    </row>
    <row r="493" spans="1:10" ht="13.2" x14ac:dyDescent="0.25">
      <c r="A493" s="17"/>
      <c r="B493" s="17"/>
      <c r="D493" s="18"/>
      <c r="E493" s="18"/>
      <c r="F493" s="18"/>
      <c r="G493" s="18"/>
      <c r="H493" s="58"/>
      <c r="I493" s="21"/>
      <c r="J493" s="22"/>
    </row>
    <row r="494" spans="1:10" ht="13.2" x14ac:dyDescent="0.25">
      <c r="A494" s="17"/>
      <c r="B494" s="17"/>
      <c r="D494" s="18"/>
      <c r="E494" s="18"/>
      <c r="F494" s="18"/>
      <c r="G494" s="18"/>
      <c r="H494" s="58"/>
      <c r="I494" s="21"/>
      <c r="J494" s="22"/>
    </row>
    <row r="495" spans="1:10" ht="13.2" x14ac:dyDescent="0.25">
      <c r="A495" s="17"/>
      <c r="B495" s="17"/>
      <c r="D495" s="18"/>
      <c r="E495" s="18"/>
      <c r="F495" s="18"/>
      <c r="G495" s="18"/>
      <c r="H495" s="58"/>
      <c r="I495" s="21"/>
      <c r="J495" s="22"/>
    </row>
    <row r="496" spans="1:10" ht="13.2" x14ac:dyDescent="0.25">
      <c r="A496" s="17"/>
      <c r="B496" s="17"/>
      <c r="D496" s="18"/>
      <c r="E496" s="18"/>
      <c r="F496" s="18"/>
      <c r="G496" s="18"/>
      <c r="H496" s="58"/>
      <c r="I496" s="21"/>
      <c r="J496" s="22"/>
    </row>
    <row r="497" spans="1:10" ht="13.2" x14ac:dyDescent="0.25">
      <c r="A497" s="17"/>
      <c r="B497" s="17"/>
      <c r="D497" s="18"/>
      <c r="E497" s="18"/>
      <c r="F497" s="18"/>
      <c r="G497" s="18"/>
      <c r="H497" s="58"/>
      <c r="I497" s="21"/>
      <c r="J497" s="22"/>
    </row>
    <row r="498" spans="1:10" ht="13.2" x14ac:dyDescent="0.25">
      <c r="A498" s="17"/>
      <c r="B498" s="17"/>
      <c r="D498" s="18"/>
      <c r="E498" s="18"/>
      <c r="F498" s="18"/>
      <c r="G498" s="18"/>
      <c r="H498" s="58"/>
      <c r="I498" s="21"/>
      <c r="J498" s="22"/>
    </row>
    <row r="499" spans="1:10" ht="13.2" x14ac:dyDescent="0.25">
      <c r="A499" s="17"/>
      <c r="B499" s="17"/>
      <c r="D499" s="18"/>
      <c r="E499" s="18"/>
      <c r="F499" s="18"/>
      <c r="G499" s="18"/>
      <c r="H499" s="58"/>
      <c r="I499" s="21"/>
      <c r="J499" s="22"/>
    </row>
    <row r="500" spans="1:10" ht="13.2" x14ac:dyDescent="0.25">
      <c r="A500" s="17"/>
      <c r="B500" s="17"/>
      <c r="D500" s="18"/>
      <c r="E500" s="18"/>
      <c r="F500" s="18"/>
      <c r="G500" s="18"/>
      <c r="H500" s="58"/>
      <c r="I500" s="21"/>
      <c r="J500" s="22"/>
    </row>
    <row r="501" spans="1:10" ht="13.2" x14ac:dyDescent="0.25">
      <c r="A501" s="17"/>
      <c r="B501" s="17"/>
      <c r="D501" s="18"/>
      <c r="E501" s="18"/>
      <c r="F501" s="18"/>
      <c r="G501" s="18"/>
      <c r="H501" s="58"/>
      <c r="I501" s="21"/>
      <c r="J501" s="22"/>
    </row>
    <row r="502" spans="1:10" ht="13.2" x14ac:dyDescent="0.25">
      <c r="A502" s="17"/>
      <c r="B502" s="17"/>
      <c r="D502" s="18"/>
      <c r="E502" s="18"/>
      <c r="F502" s="18"/>
      <c r="G502" s="18"/>
      <c r="H502" s="58"/>
      <c r="I502" s="21"/>
      <c r="J502" s="22"/>
    </row>
    <row r="503" spans="1:10" ht="13.2" x14ac:dyDescent="0.25">
      <c r="A503" s="17"/>
      <c r="B503" s="17"/>
      <c r="D503" s="18"/>
      <c r="E503" s="18"/>
      <c r="F503" s="18"/>
      <c r="G503" s="18"/>
      <c r="H503" s="58"/>
      <c r="I503" s="21"/>
      <c r="J503" s="22"/>
    </row>
    <row r="504" spans="1:10" ht="13.2" x14ac:dyDescent="0.25">
      <c r="A504" s="17"/>
      <c r="B504" s="17"/>
      <c r="D504" s="18"/>
      <c r="E504" s="18"/>
      <c r="F504" s="18"/>
      <c r="G504" s="18"/>
      <c r="H504" s="58"/>
      <c r="I504" s="21"/>
      <c r="J504" s="22"/>
    </row>
    <row r="505" spans="1:10" ht="13.2" x14ac:dyDescent="0.25">
      <c r="A505" s="17"/>
      <c r="B505" s="17"/>
      <c r="D505" s="18"/>
      <c r="E505" s="18"/>
      <c r="F505" s="18"/>
      <c r="G505" s="18"/>
      <c r="H505" s="58"/>
      <c r="I505" s="21"/>
      <c r="J505" s="22"/>
    </row>
    <row r="506" spans="1:10" ht="13.2" x14ac:dyDescent="0.25">
      <c r="A506" s="17"/>
      <c r="B506" s="17"/>
      <c r="D506" s="18"/>
      <c r="E506" s="18"/>
      <c r="F506" s="18"/>
      <c r="G506" s="18"/>
      <c r="H506" s="58"/>
      <c r="I506" s="21"/>
      <c r="J506" s="22"/>
    </row>
    <row r="507" spans="1:10" ht="13.2" x14ac:dyDescent="0.25">
      <c r="A507" s="17"/>
      <c r="B507" s="17"/>
      <c r="D507" s="18"/>
      <c r="E507" s="18"/>
      <c r="F507" s="18"/>
      <c r="G507" s="18"/>
      <c r="H507" s="58"/>
      <c r="I507" s="21"/>
      <c r="J507" s="22"/>
    </row>
    <row r="508" spans="1:10" ht="13.2" x14ac:dyDescent="0.25">
      <c r="A508" s="17"/>
      <c r="B508" s="17"/>
      <c r="D508" s="18"/>
      <c r="E508" s="18"/>
      <c r="F508" s="18"/>
      <c r="G508" s="18"/>
      <c r="H508" s="58"/>
      <c r="I508" s="21"/>
      <c r="J508" s="22"/>
    </row>
    <row r="509" spans="1:10" ht="13.2" x14ac:dyDescent="0.25">
      <c r="A509" s="17"/>
      <c r="B509" s="17"/>
      <c r="D509" s="18"/>
      <c r="E509" s="18"/>
      <c r="F509" s="18"/>
      <c r="G509" s="18"/>
      <c r="H509" s="58"/>
      <c r="I509" s="21"/>
      <c r="J509" s="22"/>
    </row>
    <row r="510" spans="1:10" ht="13.2" x14ac:dyDescent="0.25">
      <c r="A510" s="17"/>
      <c r="B510" s="17"/>
      <c r="D510" s="18"/>
      <c r="E510" s="18"/>
      <c r="F510" s="18"/>
      <c r="G510" s="18"/>
      <c r="H510" s="58"/>
      <c r="I510" s="21"/>
      <c r="J510" s="22"/>
    </row>
    <row r="511" spans="1:10" ht="13.2" x14ac:dyDescent="0.25">
      <c r="A511" s="17"/>
      <c r="B511" s="17"/>
      <c r="D511" s="18"/>
      <c r="E511" s="18"/>
      <c r="F511" s="18"/>
      <c r="G511" s="18"/>
      <c r="H511" s="58"/>
      <c r="I511" s="21"/>
      <c r="J511" s="22"/>
    </row>
    <row r="512" spans="1:10" ht="13.2" x14ac:dyDescent="0.25">
      <c r="A512" s="17"/>
      <c r="B512" s="17"/>
      <c r="D512" s="18"/>
      <c r="E512" s="18"/>
      <c r="F512" s="18"/>
      <c r="G512" s="18"/>
      <c r="H512" s="58"/>
      <c r="I512" s="21"/>
      <c r="J512" s="22"/>
    </row>
    <row r="513" spans="1:10" ht="13.2" x14ac:dyDescent="0.25">
      <c r="A513" s="17"/>
      <c r="B513" s="17"/>
      <c r="D513" s="18"/>
      <c r="E513" s="18"/>
      <c r="F513" s="18"/>
      <c r="G513" s="18"/>
      <c r="H513" s="58"/>
      <c r="I513" s="21"/>
      <c r="J513" s="22"/>
    </row>
    <row r="514" spans="1:10" ht="13.2" x14ac:dyDescent="0.25">
      <c r="A514" s="17"/>
      <c r="B514" s="17"/>
      <c r="D514" s="18"/>
      <c r="E514" s="18"/>
      <c r="F514" s="18"/>
      <c r="G514" s="18"/>
      <c r="H514" s="58"/>
      <c r="I514" s="21"/>
      <c r="J514" s="22"/>
    </row>
    <row r="515" spans="1:10" ht="13.2" x14ac:dyDescent="0.25">
      <c r="A515" s="17"/>
      <c r="B515" s="17"/>
      <c r="D515" s="18"/>
      <c r="E515" s="18"/>
      <c r="F515" s="18"/>
      <c r="G515" s="18"/>
      <c r="H515" s="58"/>
      <c r="I515" s="21"/>
      <c r="J515" s="22"/>
    </row>
    <row r="516" spans="1:10" ht="13.2" x14ac:dyDescent="0.25">
      <c r="A516" s="17"/>
      <c r="B516" s="17"/>
      <c r="D516" s="18"/>
      <c r="E516" s="18"/>
      <c r="F516" s="18"/>
      <c r="G516" s="18"/>
      <c r="H516" s="58"/>
      <c r="I516" s="21"/>
      <c r="J516" s="22"/>
    </row>
    <row r="517" spans="1:10" ht="13.2" x14ac:dyDescent="0.25">
      <c r="A517" s="17"/>
      <c r="B517" s="17"/>
      <c r="D517" s="18"/>
      <c r="E517" s="18"/>
      <c r="F517" s="18"/>
      <c r="G517" s="18"/>
      <c r="H517" s="58"/>
      <c r="I517" s="21"/>
      <c r="J517" s="22"/>
    </row>
    <row r="518" spans="1:10" ht="13.2" x14ac:dyDescent="0.25">
      <c r="A518" s="17"/>
      <c r="B518" s="17"/>
      <c r="D518" s="18"/>
      <c r="E518" s="18"/>
      <c r="F518" s="18"/>
      <c r="G518" s="18"/>
      <c r="H518" s="58"/>
      <c r="I518" s="21"/>
      <c r="J518" s="22"/>
    </row>
    <row r="519" spans="1:10" ht="13.2" x14ac:dyDescent="0.25">
      <c r="A519" s="17"/>
      <c r="B519" s="17"/>
      <c r="D519" s="18"/>
      <c r="E519" s="18"/>
      <c r="F519" s="18"/>
      <c r="G519" s="18"/>
      <c r="H519" s="58"/>
      <c r="I519" s="21"/>
      <c r="J519" s="22"/>
    </row>
    <row r="520" spans="1:10" ht="13.2" x14ac:dyDescent="0.25">
      <c r="A520" s="17"/>
      <c r="B520" s="17"/>
      <c r="D520" s="18"/>
      <c r="E520" s="18"/>
      <c r="F520" s="18"/>
      <c r="G520" s="18"/>
      <c r="H520" s="58"/>
      <c r="I520" s="21"/>
      <c r="J520" s="22"/>
    </row>
    <row r="521" spans="1:10" ht="13.2" x14ac:dyDescent="0.25">
      <c r="A521" s="17"/>
      <c r="B521" s="17"/>
      <c r="D521" s="18"/>
      <c r="E521" s="18"/>
      <c r="F521" s="18"/>
      <c r="G521" s="18"/>
      <c r="H521" s="58"/>
      <c r="I521" s="21"/>
      <c r="J521" s="22"/>
    </row>
    <row r="522" spans="1:10" ht="13.2" x14ac:dyDescent="0.25">
      <c r="A522" s="17"/>
      <c r="B522" s="17"/>
      <c r="D522" s="18"/>
      <c r="E522" s="18"/>
      <c r="F522" s="18"/>
      <c r="G522" s="18"/>
      <c r="H522" s="58"/>
      <c r="I522" s="21"/>
      <c r="J522" s="22"/>
    </row>
    <row r="523" spans="1:10" ht="13.2" x14ac:dyDescent="0.25">
      <c r="A523" s="17"/>
      <c r="B523" s="17"/>
      <c r="D523" s="18"/>
      <c r="E523" s="18"/>
      <c r="F523" s="18"/>
      <c r="G523" s="18"/>
      <c r="H523" s="58"/>
      <c r="I523" s="21"/>
      <c r="J523" s="22"/>
    </row>
    <row r="524" spans="1:10" ht="13.2" x14ac:dyDescent="0.25">
      <c r="A524" s="17"/>
      <c r="B524" s="17"/>
      <c r="D524" s="18"/>
      <c r="E524" s="18"/>
      <c r="F524" s="18"/>
      <c r="G524" s="18"/>
      <c r="H524" s="58"/>
      <c r="I524" s="21"/>
      <c r="J524" s="22"/>
    </row>
    <row r="525" spans="1:10" ht="13.2" x14ac:dyDescent="0.25">
      <c r="A525" s="17"/>
      <c r="B525" s="17"/>
      <c r="D525" s="18"/>
      <c r="E525" s="18"/>
      <c r="F525" s="18"/>
      <c r="G525" s="18"/>
      <c r="H525" s="58"/>
      <c r="I525" s="21"/>
      <c r="J525" s="22"/>
    </row>
    <row r="526" spans="1:10" ht="13.2" x14ac:dyDescent="0.25">
      <c r="A526" s="17"/>
      <c r="B526" s="17"/>
      <c r="D526" s="18"/>
      <c r="E526" s="18"/>
      <c r="F526" s="18"/>
      <c r="G526" s="18"/>
      <c r="H526" s="58"/>
      <c r="I526" s="21"/>
      <c r="J526" s="22"/>
    </row>
    <row r="527" spans="1:10" ht="13.2" x14ac:dyDescent="0.25">
      <c r="A527" s="17"/>
      <c r="B527" s="17"/>
      <c r="D527" s="18"/>
      <c r="E527" s="18"/>
      <c r="F527" s="18"/>
      <c r="G527" s="18"/>
      <c r="H527" s="58"/>
      <c r="I527" s="21"/>
      <c r="J527" s="22"/>
    </row>
    <row r="528" spans="1:10" ht="13.2" x14ac:dyDescent="0.25">
      <c r="A528" s="17"/>
      <c r="B528" s="17"/>
      <c r="D528" s="18"/>
      <c r="E528" s="18"/>
      <c r="F528" s="18"/>
      <c r="G528" s="18"/>
      <c r="H528" s="58"/>
      <c r="I528" s="21"/>
      <c r="J528" s="22"/>
    </row>
    <row r="529" spans="1:10" ht="13.2" x14ac:dyDescent="0.25">
      <c r="A529" s="17"/>
      <c r="B529" s="17"/>
      <c r="D529" s="18"/>
      <c r="E529" s="18"/>
      <c r="F529" s="18"/>
      <c r="G529" s="18"/>
      <c r="H529" s="58"/>
      <c r="I529" s="21"/>
      <c r="J529" s="22"/>
    </row>
    <row r="530" spans="1:10" ht="13.2" x14ac:dyDescent="0.25">
      <c r="A530" s="17"/>
      <c r="B530" s="17"/>
      <c r="D530" s="18"/>
      <c r="E530" s="18"/>
      <c r="F530" s="18"/>
      <c r="G530" s="18"/>
      <c r="H530" s="58"/>
      <c r="I530" s="21"/>
      <c r="J530" s="22"/>
    </row>
    <row r="531" spans="1:10" ht="13.2" x14ac:dyDescent="0.25">
      <c r="A531" s="17"/>
      <c r="B531" s="17"/>
      <c r="D531" s="18"/>
      <c r="E531" s="18"/>
      <c r="F531" s="18"/>
      <c r="G531" s="18"/>
      <c r="H531" s="58"/>
      <c r="I531" s="21"/>
      <c r="J531" s="22"/>
    </row>
    <row r="532" spans="1:10" ht="13.2" x14ac:dyDescent="0.25">
      <c r="A532" s="17"/>
      <c r="B532" s="17"/>
      <c r="D532" s="18"/>
      <c r="E532" s="18"/>
      <c r="F532" s="18"/>
      <c r="G532" s="18"/>
      <c r="H532" s="58"/>
      <c r="I532" s="21"/>
      <c r="J532" s="22"/>
    </row>
    <row r="533" spans="1:10" ht="13.2" x14ac:dyDescent="0.25">
      <c r="A533" s="17"/>
      <c r="B533" s="17"/>
      <c r="D533" s="18"/>
      <c r="E533" s="18"/>
      <c r="F533" s="18"/>
      <c r="G533" s="18"/>
      <c r="H533" s="58"/>
      <c r="I533" s="21"/>
      <c r="J533" s="22"/>
    </row>
    <row r="534" spans="1:10" ht="13.2" x14ac:dyDescent="0.25">
      <c r="A534" s="17"/>
      <c r="B534" s="17"/>
      <c r="D534" s="18"/>
      <c r="E534" s="18"/>
      <c r="F534" s="18"/>
      <c r="G534" s="18"/>
      <c r="H534" s="58"/>
      <c r="I534" s="21"/>
      <c r="J534" s="22"/>
    </row>
    <row r="535" spans="1:10" ht="13.2" x14ac:dyDescent="0.25">
      <c r="A535" s="17"/>
      <c r="B535" s="17"/>
      <c r="D535" s="18"/>
      <c r="E535" s="18"/>
      <c r="F535" s="18"/>
      <c r="G535" s="18"/>
      <c r="H535" s="58"/>
      <c r="I535" s="21"/>
      <c r="J535" s="22"/>
    </row>
    <row r="536" spans="1:10" ht="13.2" x14ac:dyDescent="0.25">
      <c r="A536" s="17"/>
      <c r="B536" s="17"/>
      <c r="D536" s="18"/>
      <c r="E536" s="18"/>
      <c r="F536" s="18"/>
      <c r="G536" s="18"/>
      <c r="H536" s="58"/>
      <c r="I536" s="21"/>
      <c r="J536" s="22"/>
    </row>
    <row r="537" spans="1:10" ht="13.2" x14ac:dyDescent="0.25">
      <c r="A537" s="17"/>
      <c r="B537" s="17"/>
      <c r="D537" s="18"/>
      <c r="E537" s="18"/>
      <c r="F537" s="18"/>
      <c r="G537" s="18"/>
      <c r="H537" s="58"/>
      <c r="I537" s="21"/>
      <c r="J537" s="22"/>
    </row>
    <row r="538" spans="1:10" ht="13.2" x14ac:dyDescent="0.25">
      <c r="A538" s="17"/>
      <c r="B538" s="17"/>
      <c r="D538" s="18"/>
      <c r="E538" s="18"/>
      <c r="F538" s="18"/>
      <c r="G538" s="18"/>
      <c r="H538" s="58"/>
      <c r="I538" s="21"/>
      <c r="J538" s="22"/>
    </row>
    <row r="539" spans="1:10" ht="13.2" x14ac:dyDescent="0.25">
      <c r="A539" s="17"/>
      <c r="B539" s="17"/>
      <c r="D539" s="18"/>
      <c r="E539" s="18"/>
      <c r="F539" s="18"/>
      <c r="G539" s="18"/>
      <c r="H539" s="58"/>
      <c r="I539" s="21"/>
      <c r="J539" s="22"/>
    </row>
    <row r="540" spans="1:10" ht="13.2" x14ac:dyDescent="0.25">
      <c r="A540" s="17"/>
      <c r="B540" s="17"/>
      <c r="D540" s="18"/>
      <c r="E540" s="18"/>
      <c r="F540" s="18"/>
      <c r="G540" s="18"/>
      <c r="H540" s="58"/>
      <c r="I540" s="21"/>
      <c r="J540" s="22"/>
    </row>
    <row r="541" spans="1:10" ht="13.2" x14ac:dyDescent="0.25">
      <c r="A541" s="17"/>
      <c r="B541" s="17"/>
      <c r="D541" s="18"/>
      <c r="E541" s="18"/>
      <c r="F541" s="18"/>
      <c r="G541" s="18"/>
      <c r="H541" s="58"/>
      <c r="I541" s="21"/>
      <c r="J541" s="22"/>
    </row>
    <row r="542" spans="1:10" ht="13.2" x14ac:dyDescent="0.25">
      <c r="A542" s="17"/>
      <c r="B542" s="17"/>
      <c r="D542" s="18"/>
      <c r="E542" s="18"/>
      <c r="F542" s="18"/>
      <c r="G542" s="18"/>
      <c r="H542" s="58"/>
      <c r="I542" s="21"/>
      <c r="J542" s="22"/>
    </row>
    <row r="543" spans="1:10" ht="13.2" x14ac:dyDescent="0.25">
      <c r="A543" s="17"/>
      <c r="B543" s="17"/>
      <c r="D543" s="18"/>
      <c r="E543" s="18"/>
      <c r="F543" s="18"/>
      <c r="G543" s="18"/>
      <c r="H543" s="58"/>
      <c r="I543" s="21"/>
      <c r="J543" s="22"/>
    </row>
    <row r="544" spans="1:10" ht="13.2" x14ac:dyDescent="0.25">
      <c r="A544" s="17"/>
      <c r="B544" s="17"/>
      <c r="D544" s="18"/>
      <c r="E544" s="18"/>
      <c r="F544" s="18"/>
      <c r="G544" s="18"/>
      <c r="H544" s="58"/>
      <c r="I544" s="21"/>
      <c r="J544" s="22"/>
    </row>
    <row r="545" spans="1:10" ht="13.2" x14ac:dyDescent="0.25">
      <c r="A545" s="17"/>
      <c r="B545" s="17"/>
      <c r="D545" s="18"/>
      <c r="E545" s="18"/>
      <c r="F545" s="18"/>
      <c r="G545" s="18"/>
      <c r="H545" s="58"/>
      <c r="I545" s="21"/>
      <c r="J545" s="22"/>
    </row>
    <row r="546" spans="1:10" ht="13.2" x14ac:dyDescent="0.25">
      <c r="A546" s="17"/>
      <c r="B546" s="17"/>
      <c r="D546" s="18"/>
      <c r="E546" s="18"/>
      <c r="F546" s="18"/>
      <c r="G546" s="18"/>
      <c r="H546" s="58"/>
      <c r="I546" s="21"/>
      <c r="J546" s="22"/>
    </row>
    <row r="547" spans="1:10" ht="13.2" x14ac:dyDescent="0.25">
      <c r="A547" s="17"/>
      <c r="B547" s="17"/>
      <c r="D547" s="18"/>
      <c r="E547" s="18"/>
      <c r="F547" s="18"/>
      <c r="G547" s="18"/>
      <c r="H547" s="58"/>
      <c r="I547" s="21"/>
      <c r="J547" s="22"/>
    </row>
    <row r="548" spans="1:10" ht="13.2" x14ac:dyDescent="0.25">
      <c r="A548" s="17"/>
      <c r="B548" s="17"/>
      <c r="D548" s="18"/>
      <c r="E548" s="18"/>
      <c r="F548" s="18"/>
      <c r="G548" s="18"/>
      <c r="H548" s="58"/>
      <c r="I548" s="21"/>
      <c r="J548" s="22"/>
    </row>
    <row r="549" spans="1:10" ht="13.2" x14ac:dyDescent="0.25">
      <c r="A549" s="17"/>
      <c r="B549" s="17"/>
      <c r="D549" s="18"/>
      <c r="E549" s="18"/>
      <c r="F549" s="18"/>
      <c r="G549" s="18"/>
      <c r="H549" s="58"/>
      <c r="I549" s="21"/>
      <c r="J549" s="22"/>
    </row>
    <row r="550" spans="1:10" ht="13.2" x14ac:dyDescent="0.25">
      <c r="A550" s="17"/>
      <c r="B550" s="17"/>
      <c r="D550" s="18"/>
      <c r="E550" s="18"/>
      <c r="F550" s="18"/>
      <c r="G550" s="18"/>
      <c r="H550" s="58"/>
      <c r="I550" s="21"/>
      <c r="J550" s="22"/>
    </row>
    <row r="551" spans="1:10" ht="13.2" x14ac:dyDescent="0.25">
      <c r="A551" s="17"/>
      <c r="B551" s="17"/>
      <c r="D551" s="18"/>
      <c r="E551" s="18"/>
      <c r="F551" s="18"/>
      <c r="G551" s="18"/>
      <c r="H551" s="58"/>
      <c r="I551" s="21"/>
      <c r="J551" s="22"/>
    </row>
    <row r="552" spans="1:10" ht="13.2" x14ac:dyDescent="0.25">
      <c r="A552" s="17"/>
      <c r="B552" s="17"/>
      <c r="D552" s="18"/>
      <c r="E552" s="18"/>
      <c r="F552" s="18"/>
      <c r="G552" s="18"/>
      <c r="H552" s="58"/>
      <c r="I552" s="21"/>
      <c r="J552" s="22"/>
    </row>
    <row r="553" spans="1:10" ht="13.2" x14ac:dyDescent="0.25">
      <c r="A553" s="17"/>
      <c r="B553" s="17"/>
      <c r="D553" s="18"/>
      <c r="E553" s="18"/>
      <c r="F553" s="18"/>
      <c r="G553" s="18"/>
      <c r="H553" s="58"/>
      <c r="I553" s="21"/>
      <c r="J553" s="22"/>
    </row>
    <row r="554" spans="1:10" ht="13.2" x14ac:dyDescent="0.25">
      <c r="A554" s="17"/>
      <c r="B554" s="17"/>
      <c r="D554" s="18"/>
      <c r="E554" s="18"/>
      <c r="F554" s="18"/>
      <c r="G554" s="18"/>
      <c r="H554" s="58"/>
      <c r="I554" s="21"/>
      <c r="J554" s="22"/>
    </row>
    <row r="555" spans="1:10" ht="13.2" x14ac:dyDescent="0.25">
      <c r="A555" s="17"/>
      <c r="B555" s="17"/>
      <c r="D555" s="18"/>
      <c r="E555" s="18"/>
      <c r="F555" s="18"/>
      <c r="G555" s="18"/>
      <c r="H555" s="58"/>
      <c r="I555" s="21"/>
      <c r="J555" s="22"/>
    </row>
    <row r="556" spans="1:10" ht="13.2" x14ac:dyDescent="0.25">
      <c r="A556" s="17"/>
      <c r="B556" s="17"/>
      <c r="D556" s="18"/>
      <c r="E556" s="18"/>
      <c r="F556" s="18"/>
      <c r="G556" s="18"/>
      <c r="H556" s="58"/>
      <c r="I556" s="21"/>
      <c r="J556" s="22"/>
    </row>
    <row r="557" spans="1:10" ht="13.2" x14ac:dyDescent="0.25">
      <c r="A557" s="17"/>
      <c r="B557" s="17"/>
      <c r="D557" s="18"/>
      <c r="E557" s="18"/>
      <c r="F557" s="18"/>
      <c r="G557" s="18"/>
      <c r="H557" s="58"/>
      <c r="I557" s="21"/>
      <c r="J557" s="22"/>
    </row>
    <row r="558" spans="1:10" ht="13.2" x14ac:dyDescent="0.25">
      <c r="A558" s="17"/>
      <c r="B558" s="17"/>
      <c r="D558" s="18"/>
      <c r="E558" s="18"/>
      <c r="F558" s="18"/>
      <c r="G558" s="18"/>
      <c r="H558" s="58"/>
      <c r="I558" s="21"/>
      <c r="J558" s="22"/>
    </row>
    <row r="559" spans="1:10" ht="13.2" x14ac:dyDescent="0.25">
      <c r="A559" s="17"/>
      <c r="B559" s="17"/>
      <c r="D559" s="18"/>
      <c r="E559" s="18"/>
      <c r="F559" s="18"/>
      <c r="G559" s="18"/>
      <c r="H559" s="58"/>
      <c r="I559" s="21"/>
      <c r="J559" s="22"/>
    </row>
    <row r="560" spans="1:10" ht="13.2" x14ac:dyDescent="0.25">
      <c r="A560" s="17"/>
      <c r="B560" s="17"/>
      <c r="D560" s="18"/>
      <c r="E560" s="18"/>
      <c r="F560" s="18"/>
      <c r="G560" s="18"/>
      <c r="H560" s="58"/>
      <c r="I560" s="21"/>
      <c r="J560" s="22"/>
    </row>
    <row r="561" spans="1:10" ht="13.2" x14ac:dyDescent="0.25">
      <c r="A561" s="17"/>
      <c r="B561" s="17"/>
      <c r="D561" s="18"/>
      <c r="E561" s="18"/>
      <c r="F561" s="18"/>
      <c r="G561" s="18"/>
      <c r="H561" s="58"/>
      <c r="I561" s="21"/>
      <c r="J561" s="22"/>
    </row>
    <row r="562" spans="1:10" ht="13.2" x14ac:dyDescent="0.25">
      <c r="A562" s="17"/>
      <c r="B562" s="17"/>
      <c r="D562" s="18"/>
      <c r="E562" s="18"/>
      <c r="F562" s="18"/>
      <c r="G562" s="18"/>
      <c r="H562" s="58"/>
      <c r="I562" s="21"/>
      <c r="J562" s="22"/>
    </row>
    <row r="563" spans="1:10" ht="13.2" x14ac:dyDescent="0.25">
      <c r="A563" s="17"/>
      <c r="B563" s="17"/>
      <c r="D563" s="18"/>
      <c r="E563" s="18"/>
      <c r="F563" s="18"/>
      <c r="G563" s="18"/>
      <c r="H563" s="58"/>
      <c r="I563" s="21"/>
      <c r="J563" s="22"/>
    </row>
    <row r="564" spans="1:10" ht="13.2" x14ac:dyDescent="0.25">
      <c r="A564" s="17"/>
      <c r="B564" s="17"/>
      <c r="D564" s="18"/>
      <c r="E564" s="18"/>
      <c r="F564" s="18"/>
      <c r="G564" s="18"/>
      <c r="H564" s="58"/>
      <c r="I564" s="21"/>
      <c r="J564" s="22"/>
    </row>
    <row r="565" spans="1:10" ht="13.2" x14ac:dyDescent="0.25">
      <c r="A565" s="17"/>
      <c r="B565" s="17"/>
      <c r="D565" s="18"/>
      <c r="E565" s="18"/>
      <c r="F565" s="18"/>
      <c r="G565" s="18"/>
      <c r="H565" s="58"/>
      <c r="I565" s="21"/>
      <c r="J565" s="22"/>
    </row>
    <row r="566" spans="1:10" ht="13.2" x14ac:dyDescent="0.25">
      <c r="A566" s="17"/>
      <c r="B566" s="17"/>
      <c r="D566" s="18"/>
      <c r="E566" s="18"/>
      <c r="F566" s="18"/>
      <c r="G566" s="18"/>
      <c r="H566" s="58"/>
      <c r="I566" s="21"/>
      <c r="J566" s="22"/>
    </row>
    <row r="567" spans="1:10" ht="13.2" x14ac:dyDescent="0.25">
      <c r="A567" s="17"/>
      <c r="B567" s="17"/>
      <c r="D567" s="18"/>
      <c r="E567" s="18"/>
      <c r="F567" s="18"/>
      <c r="G567" s="18"/>
      <c r="H567" s="58"/>
      <c r="I567" s="21"/>
      <c r="J567" s="22"/>
    </row>
    <row r="568" spans="1:10" ht="13.2" x14ac:dyDescent="0.25">
      <c r="A568" s="17"/>
      <c r="B568" s="17"/>
      <c r="D568" s="18"/>
      <c r="E568" s="18"/>
      <c r="F568" s="18"/>
      <c r="G568" s="18"/>
      <c r="H568" s="58"/>
      <c r="I568" s="21"/>
      <c r="J568" s="22"/>
    </row>
    <row r="569" spans="1:10" ht="13.2" x14ac:dyDescent="0.25">
      <c r="A569" s="17"/>
      <c r="B569" s="17"/>
      <c r="D569" s="18"/>
      <c r="E569" s="18"/>
      <c r="F569" s="18"/>
      <c r="G569" s="18"/>
      <c r="H569" s="58"/>
      <c r="I569" s="21"/>
      <c r="J569" s="22"/>
    </row>
    <row r="570" spans="1:10" ht="13.2" x14ac:dyDescent="0.25">
      <c r="A570" s="17"/>
      <c r="B570" s="17"/>
      <c r="D570" s="18"/>
      <c r="E570" s="18"/>
      <c r="F570" s="18"/>
      <c r="G570" s="18"/>
      <c r="H570" s="58"/>
      <c r="I570" s="21"/>
      <c r="J570" s="22"/>
    </row>
    <row r="571" spans="1:10" ht="13.2" x14ac:dyDescent="0.25">
      <c r="A571" s="17"/>
      <c r="B571" s="17"/>
      <c r="D571" s="18"/>
      <c r="E571" s="18"/>
      <c r="F571" s="18"/>
      <c r="G571" s="18"/>
      <c r="H571" s="58"/>
      <c r="I571" s="21"/>
      <c r="J571" s="22"/>
    </row>
    <row r="572" spans="1:10" ht="13.2" x14ac:dyDescent="0.25">
      <c r="A572" s="17"/>
      <c r="B572" s="17"/>
      <c r="D572" s="18"/>
      <c r="E572" s="18"/>
      <c r="F572" s="18"/>
      <c r="G572" s="18"/>
      <c r="H572" s="58"/>
      <c r="I572" s="21"/>
      <c r="J572" s="22"/>
    </row>
    <row r="573" spans="1:10" ht="13.2" x14ac:dyDescent="0.25">
      <c r="A573" s="17"/>
      <c r="B573" s="17"/>
      <c r="D573" s="18"/>
      <c r="E573" s="18"/>
      <c r="F573" s="18"/>
      <c r="G573" s="18"/>
      <c r="H573" s="58"/>
      <c r="I573" s="21"/>
      <c r="J573" s="22"/>
    </row>
    <row r="574" spans="1:10" ht="13.2" x14ac:dyDescent="0.25">
      <c r="A574" s="17"/>
      <c r="B574" s="17"/>
      <c r="D574" s="18"/>
      <c r="E574" s="18"/>
      <c r="F574" s="18"/>
      <c r="G574" s="18"/>
      <c r="H574" s="58"/>
      <c r="I574" s="21"/>
      <c r="J574" s="22"/>
    </row>
    <row r="575" spans="1:10" ht="13.2" x14ac:dyDescent="0.25">
      <c r="A575" s="17"/>
      <c r="B575" s="17"/>
      <c r="D575" s="18"/>
      <c r="E575" s="18"/>
      <c r="F575" s="18"/>
      <c r="G575" s="18"/>
      <c r="H575" s="58"/>
      <c r="I575" s="21"/>
      <c r="J575" s="22"/>
    </row>
    <row r="576" spans="1:10" ht="13.2" x14ac:dyDescent="0.25">
      <c r="A576" s="17"/>
      <c r="B576" s="17"/>
      <c r="D576" s="18"/>
      <c r="E576" s="18"/>
      <c r="F576" s="18"/>
      <c r="G576" s="18"/>
      <c r="H576" s="58"/>
      <c r="I576" s="21"/>
      <c r="J576" s="22"/>
    </row>
    <row r="577" spans="1:10" ht="13.2" x14ac:dyDescent="0.25">
      <c r="A577" s="17"/>
      <c r="B577" s="17"/>
      <c r="D577" s="18"/>
      <c r="E577" s="18"/>
      <c r="F577" s="18"/>
      <c r="G577" s="18"/>
      <c r="H577" s="58"/>
      <c r="I577" s="21"/>
      <c r="J577" s="22"/>
    </row>
    <row r="578" spans="1:10" ht="13.2" x14ac:dyDescent="0.25">
      <c r="A578" s="17"/>
      <c r="B578" s="17"/>
      <c r="D578" s="18"/>
      <c r="E578" s="18"/>
      <c r="F578" s="18"/>
      <c r="G578" s="18"/>
      <c r="H578" s="58"/>
      <c r="I578" s="21"/>
      <c r="J578" s="22"/>
    </row>
    <row r="579" spans="1:10" ht="13.2" x14ac:dyDescent="0.25">
      <c r="A579" s="17"/>
      <c r="B579" s="17"/>
      <c r="D579" s="18"/>
      <c r="E579" s="18"/>
      <c r="F579" s="18"/>
      <c r="G579" s="18"/>
      <c r="H579" s="58"/>
      <c r="I579" s="21"/>
      <c r="J579" s="22"/>
    </row>
    <row r="580" spans="1:10" ht="13.2" x14ac:dyDescent="0.25">
      <c r="A580" s="17"/>
      <c r="B580" s="17"/>
      <c r="D580" s="18"/>
      <c r="E580" s="18"/>
      <c r="F580" s="18"/>
      <c r="G580" s="18"/>
      <c r="H580" s="58"/>
      <c r="I580" s="21"/>
      <c r="J580" s="22"/>
    </row>
    <row r="581" spans="1:10" ht="13.2" x14ac:dyDescent="0.25">
      <c r="A581" s="17"/>
      <c r="B581" s="17"/>
      <c r="D581" s="18"/>
      <c r="E581" s="18"/>
      <c r="F581" s="18"/>
      <c r="G581" s="18"/>
      <c r="H581" s="58"/>
      <c r="I581" s="21"/>
      <c r="J581" s="22"/>
    </row>
    <row r="582" spans="1:10" ht="13.2" x14ac:dyDescent="0.25">
      <c r="A582" s="17"/>
      <c r="B582" s="17"/>
      <c r="D582" s="18"/>
      <c r="E582" s="18"/>
      <c r="F582" s="18"/>
      <c r="G582" s="18"/>
      <c r="H582" s="58"/>
      <c r="I582" s="21"/>
      <c r="J582" s="22"/>
    </row>
    <row r="583" spans="1:10" ht="13.2" x14ac:dyDescent="0.25">
      <c r="A583" s="17"/>
      <c r="B583" s="17"/>
      <c r="D583" s="18"/>
      <c r="E583" s="18"/>
      <c r="F583" s="18"/>
      <c r="G583" s="18"/>
      <c r="H583" s="58"/>
      <c r="I583" s="21"/>
      <c r="J583" s="22"/>
    </row>
    <row r="584" spans="1:10" ht="13.2" x14ac:dyDescent="0.25">
      <c r="A584" s="17"/>
      <c r="B584" s="17"/>
      <c r="D584" s="18"/>
      <c r="E584" s="18"/>
      <c r="F584" s="18"/>
      <c r="G584" s="18"/>
      <c r="H584" s="58"/>
      <c r="I584" s="21"/>
      <c r="J584" s="22"/>
    </row>
    <row r="585" spans="1:10" ht="13.2" x14ac:dyDescent="0.25">
      <c r="A585" s="17"/>
      <c r="B585" s="17"/>
      <c r="D585" s="18"/>
      <c r="E585" s="18"/>
      <c r="F585" s="18"/>
      <c r="G585" s="18"/>
      <c r="H585" s="58"/>
      <c r="I585" s="21"/>
      <c r="J585" s="22"/>
    </row>
    <row r="586" spans="1:10" ht="13.2" x14ac:dyDescent="0.25">
      <c r="A586" s="17"/>
      <c r="B586" s="17"/>
      <c r="D586" s="18"/>
      <c r="E586" s="18"/>
      <c r="F586" s="18"/>
      <c r="G586" s="18"/>
      <c r="H586" s="58"/>
      <c r="I586" s="21"/>
      <c r="J586" s="22"/>
    </row>
    <row r="587" spans="1:10" ht="13.2" x14ac:dyDescent="0.25">
      <c r="A587" s="17"/>
      <c r="B587" s="17"/>
      <c r="D587" s="18"/>
      <c r="E587" s="18"/>
      <c r="F587" s="18"/>
      <c r="G587" s="18"/>
      <c r="H587" s="58"/>
      <c r="I587" s="21"/>
      <c r="J587" s="22"/>
    </row>
    <row r="588" spans="1:10" ht="13.2" x14ac:dyDescent="0.25">
      <c r="A588" s="17"/>
      <c r="B588" s="17"/>
      <c r="D588" s="18"/>
      <c r="E588" s="18"/>
      <c r="F588" s="18"/>
      <c r="G588" s="18"/>
      <c r="H588" s="58"/>
      <c r="I588" s="21"/>
      <c r="J588" s="22"/>
    </row>
    <row r="589" spans="1:10" ht="13.2" x14ac:dyDescent="0.25">
      <c r="A589" s="17"/>
      <c r="B589" s="17"/>
      <c r="D589" s="18"/>
      <c r="E589" s="18"/>
      <c r="F589" s="18"/>
      <c r="G589" s="18"/>
      <c r="H589" s="58"/>
      <c r="I589" s="21"/>
      <c r="J589" s="22"/>
    </row>
    <row r="590" spans="1:10" ht="13.2" x14ac:dyDescent="0.25">
      <c r="A590" s="17"/>
      <c r="B590" s="17"/>
      <c r="D590" s="18"/>
      <c r="E590" s="18"/>
      <c r="F590" s="18"/>
      <c r="G590" s="18"/>
      <c r="H590" s="58"/>
      <c r="I590" s="21"/>
      <c r="J590" s="22"/>
    </row>
    <row r="591" spans="1:10" ht="13.2" x14ac:dyDescent="0.25">
      <c r="A591" s="17"/>
      <c r="B591" s="17"/>
      <c r="D591" s="18"/>
      <c r="E591" s="18"/>
      <c r="F591" s="18"/>
      <c r="G591" s="18"/>
      <c r="H591" s="58"/>
      <c r="I591" s="21"/>
      <c r="J591" s="22"/>
    </row>
    <row r="592" spans="1:10" ht="13.2" x14ac:dyDescent="0.25">
      <c r="A592" s="17"/>
      <c r="B592" s="17"/>
      <c r="D592" s="18"/>
      <c r="E592" s="18"/>
      <c r="F592" s="18"/>
      <c r="G592" s="18"/>
      <c r="H592" s="58"/>
      <c r="I592" s="21"/>
      <c r="J592" s="22"/>
    </row>
    <row r="593" spans="1:10" ht="13.2" x14ac:dyDescent="0.25">
      <c r="A593" s="17"/>
      <c r="B593" s="17"/>
      <c r="D593" s="18"/>
      <c r="E593" s="18"/>
      <c r="F593" s="18"/>
      <c r="G593" s="18"/>
      <c r="H593" s="58"/>
      <c r="I593" s="21"/>
      <c r="J593" s="22"/>
    </row>
    <row r="594" spans="1:10" ht="13.2" x14ac:dyDescent="0.25">
      <c r="A594" s="17"/>
      <c r="B594" s="17"/>
      <c r="D594" s="18"/>
      <c r="E594" s="18"/>
      <c r="F594" s="18"/>
      <c r="G594" s="18"/>
      <c r="H594" s="58"/>
      <c r="I594" s="21"/>
      <c r="J594" s="22"/>
    </row>
    <row r="595" spans="1:10" ht="13.2" x14ac:dyDescent="0.25">
      <c r="A595" s="17"/>
      <c r="B595" s="17"/>
      <c r="D595" s="18"/>
      <c r="E595" s="18"/>
      <c r="F595" s="18"/>
      <c r="G595" s="18"/>
      <c r="H595" s="58"/>
      <c r="I595" s="21"/>
      <c r="J595" s="22"/>
    </row>
    <row r="596" spans="1:10" ht="13.2" x14ac:dyDescent="0.25">
      <c r="A596" s="17"/>
      <c r="B596" s="17"/>
      <c r="D596" s="18"/>
      <c r="E596" s="18"/>
      <c r="F596" s="18"/>
      <c r="G596" s="18"/>
      <c r="H596" s="58"/>
      <c r="I596" s="21"/>
      <c r="J596" s="22"/>
    </row>
    <row r="597" spans="1:10" ht="13.2" x14ac:dyDescent="0.25">
      <c r="A597" s="17"/>
      <c r="B597" s="17"/>
      <c r="D597" s="18"/>
      <c r="E597" s="18"/>
      <c r="F597" s="18"/>
      <c r="G597" s="18"/>
      <c r="H597" s="58"/>
      <c r="I597" s="21"/>
      <c r="J597" s="22"/>
    </row>
    <row r="598" spans="1:10" ht="13.2" x14ac:dyDescent="0.25">
      <c r="A598" s="17"/>
      <c r="B598" s="17"/>
      <c r="D598" s="18"/>
      <c r="E598" s="18"/>
      <c r="F598" s="18"/>
      <c r="G598" s="18"/>
      <c r="H598" s="58"/>
      <c r="I598" s="21"/>
      <c r="J598" s="22"/>
    </row>
    <row r="599" spans="1:10" ht="13.2" x14ac:dyDescent="0.25">
      <c r="A599" s="17"/>
      <c r="B599" s="17"/>
      <c r="D599" s="18"/>
      <c r="E599" s="18"/>
      <c r="F599" s="18"/>
      <c r="G599" s="18"/>
      <c r="H599" s="58"/>
      <c r="I599" s="21"/>
      <c r="J599" s="22"/>
    </row>
    <row r="600" spans="1:10" ht="13.2" x14ac:dyDescent="0.25">
      <c r="A600" s="17"/>
      <c r="B600" s="17"/>
      <c r="D600" s="18"/>
      <c r="E600" s="18"/>
      <c r="F600" s="18"/>
      <c r="G600" s="18"/>
      <c r="H600" s="58"/>
      <c r="I600" s="21"/>
      <c r="J600" s="22"/>
    </row>
    <row r="601" spans="1:10" ht="13.2" x14ac:dyDescent="0.25">
      <c r="A601" s="17"/>
      <c r="B601" s="17"/>
      <c r="D601" s="18"/>
      <c r="E601" s="18"/>
      <c r="F601" s="18"/>
      <c r="G601" s="18"/>
      <c r="H601" s="58"/>
      <c r="I601" s="21"/>
      <c r="J601" s="22"/>
    </row>
    <row r="602" spans="1:10" ht="13.2" x14ac:dyDescent="0.25">
      <c r="A602" s="17"/>
      <c r="B602" s="17"/>
      <c r="D602" s="18"/>
      <c r="E602" s="18"/>
      <c r="F602" s="18"/>
      <c r="G602" s="18"/>
      <c r="H602" s="58"/>
      <c r="I602" s="21"/>
      <c r="J602" s="22"/>
    </row>
    <row r="603" spans="1:10" ht="13.2" x14ac:dyDescent="0.25">
      <c r="A603" s="17"/>
      <c r="B603" s="17"/>
      <c r="D603" s="18"/>
      <c r="E603" s="18"/>
      <c r="F603" s="18"/>
      <c r="G603" s="18"/>
      <c r="H603" s="58"/>
      <c r="I603" s="21"/>
      <c r="J603" s="22"/>
    </row>
    <row r="604" spans="1:10" ht="13.2" x14ac:dyDescent="0.25">
      <c r="A604" s="17"/>
      <c r="B604" s="17"/>
      <c r="D604" s="18"/>
      <c r="E604" s="18"/>
      <c r="F604" s="18"/>
      <c r="G604" s="18"/>
      <c r="H604" s="58"/>
      <c r="I604" s="21"/>
      <c r="J604" s="22"/>
    </row>
    <row r="605" spans="1:10" ht="13.2" x14ac:dyDescent="0.25">
      <c r="A605" s="17"/>
      <c r="B605" s="17"/>
      <c r="D605" s="18"/>
      <c r="E605" s="18"/>
      <c r="F605" s="18"/>
      <c r="G605" s="18"/>
      <c r="H605" s="58"/>
      <c r="I605" s="21"/>
      <c r="J605" s="22"/>
    </row>
    <row r="606" spans="1:10" ht="13.2" x14ac:dyDescent="0.25">
      <c r="A606" s="17"/>
      <c r="B606" s="17"/>
      <c r="D606" s="18"/>
      <c r="E606" s="18"/>
      <c r="F606" s="18"/>
      <c r="G606" s="18"/>
      <c r="H606" s="58"/>
      <c r="I606" s="21"/>
      <c r="J606" s="22"/>
    </row>
    <row r="607" spans="1:10" ht="13.2" x14ac:dyDescent="0.25">
      <c r="A607" s="17"/>
      <c r="B607" s="17"/>
      <c r="D607" s="18"/>
      <c r="E607" s="18"/>
      <c r="F607" s="18"/>
      <c r="G607" s="18"/>
      <c r="H607" s="58"/>
      <c r="I607" s="21"/>
      <c r="J607" s="22"/>
    </row>
    <row r="608" spans="1:10" ht="13.2" x14ac:dyDescent="0.25">
      <c r="A608" s="17"/>
      <c r="B608" s="17"/>
      <c r="D608" s="18"/>
      <c r="E608" s="18"/>
      <c r="F608" s="18"/>
      <c r="G608" s="18"/>
      <c r="H608" s="58"/>
      <c r="I608" s="21"/>
      <c r="J608" s="22"/>
    </row>
    <row r="609" spans="1:10" ht="13.2" x14ac:dyDescent="0.25">
      <c r="A609" s="17"/>
      <c r="B609" s="17"/>
      <c r="D609" s="18"/>
      <c r="E609" s="18"/>
      <c r="F609" s="18"/>
      <c r="G609" s="18"/>
      <c r="H609" s="58"/>
      <c r="I609" s="21"/>
      <c r="J609" s="22"/>
    </row>
    <row r="610" spans="1:10" ht="13.2" x14ac:dyDescent="0.25">
      <c r="A610" s="17"/>
      <c r="B610" s="17"/>
      <c r="D610" s="18"/>
      <c r="E610" s="18"/>
      <c r="F610" s="18"/>
      <c r="G610" s="18"/>
      <c r="H610" s="58"/>
      <c r="I610" s="21"/>
      <c r="J610" s="22"/>
    </row>
    <row r="611" spans="1:10" ht="13.2" x14ac:dyDescent="0.25">
      <c r="A611" s="17"/>
      <c r="B611" s="17"/>
      <c r="D611" s="18"/>
      <c r="E611" s="18"/>
      <c r="F611" s="18"/>
      <c r="G611" s="18"/>
      <c r="H611" s="58"/>
      <c r="I611" s="21"/>
      <c r="J611" s="22"/>
    </row>
    <row r="612" spans="1:10" ht="13.2" x14ac:dyDescent="0.25">
      <c r="A612" s="17"/>
      <c r="B612" s="17"/>
      <c r="D612" s="18"/>
      <c r="E612" s="18"/>
      <c r="F612" s="18"/>
      <c r="G612" s="18"/>
      <c r="H612" s="58"/>
      <c r="I612" s="21"/>
      <c r="J612" s="22"/>
    </row>
    <row r="613" spans="1:10" ht="13.2" x14ac:dyDescent="0.25">
      <c r="A613" s="17"/>
      <c r="B613" s="17"/>
      <c r="D613" s="18"/>
      <c r="E613" s="18"/>
      <c r="F613" s="18"/>
      <c r="G613" s="18"/>
      <c r="H613" s="58"/>
      <c r="I613" s="21"/>
      <c r="J613" s="22"/>
    </row>
    <row r="614" spans="1:10" ht="13.2" x14ac:dyDescent="0.25">
      <c r="A614" s="17"/>
      <c r="B614" s="17"/>
      <c r="D614" s="18"/>
      <c r="E614" s="18"/>
      <c r="F614" s="18"/>
      <c r="G614" s="18"/>
      <c r="H614" s="58"/>
      <c r="I614" s="21"/>
      <c r="J614" s="22"/>
    </row>
    <row r="615" spans="1:10" ht="13.2" x14ac:dyDescent="0.25">
      <c r="A615" s="17"/>
      <c r="B615" s="17"/>
      <c r="D615" s="18"/>
      <c r="E615" s="18"/>
      <c r="F615" s="18"/>
      <c r="G615" s="18"/>
      <c r="H615" s="58"/>
      <c r="I615" s="21"/>
      <c r="J615" s="22"/>
    </row>
    <row r="616" spans="1:10" ht="13.2" x14ac:dyDescent="0.25">
      <c r="A616" s="17"/>
      <c r="B616" s="17"/>
      <c r="D616" s="18"/>
      <c r="E616" s="18"/>
      <c r="F616" s="18"/>
      <c r="G616" s="18"/>
      <c r="H616" s="58"/>
      <c r="I616" s="21"/>
      <c r="J616" s="22"/>
    </row>
    <row r="617" spans="1:10" ht="13.2" x14ac:dyDescent="0.25">
      <c r="A617" s="17"/>
      <c r="B617" s="17"/>
      <c r="D617" s="18"/>
      <c r="E617" s="18"/>
      <c r="F617" s="18"/>
      <c r="G617" s="18"/>
      <c r="H617" s="58"/>
      <c r="I617" s="21"/>
      <c r="J617" s="22"/>
    </row>
    <row r="618" spans="1:10" ht="13.2" x14ac:dyDescent="0.25">
      <c r="A618" s="17"/>
      <c r="B618" s="17"/>
      <c r="D618" s="18"/>
      <c r="E618" s="18"/>
      <c r="F618" s="18"/>
      <c r="G618" s="18"/>
      <c r="H618" s="58"/>
      <c r="I618" s="21"/>
      <c r="J618" s="22"/>
    </row>
    <row r="619" spans="1:10" ht="13.2" x14ac:dyDescent="0.25">
      <c r="A619" s="17"/>
      <c r="B619" s="17"/>
      <c r="D619" s="18"/>
      <c r="E619" s="18"/>
      <c r="F619" s="18"/>
      <c r="G619" s="18"/>
      <c r="H619" s="58"/>
      <c r="I619" s="21"/>
      <c r="J619" s="22"/>
    </row>
    <row r="620" spans="1:10" ht="13.2" x14ac:dyDescent="0.25">
      <c r="A620" s="17"/>
      <c r="B620" s="17"/>
      <c r="D620" s="18"/>
      <c r="E620" s="18"/>
      <c r="F620" s="18"/>
      <c r="G620" s="18"/>
      <c r="H620" s="58"/>
      <c r="I620" s="21"/>
      <c r="J620" s="22"/>
    </row>
    <row r="621" spans="1:10" ht="13.2" x14ac:dyDescent="0.25">
      <c r="A621" s="17"/>
      <c r="B621" s="17"/>
      <c r="D621" s="18"/>
      <c r="E621" s="18"/>
      <c r="F621" s="18"/>
      <c r="G621" s="18"/>
      <c r="H621" s="58"/>
      <c r="I621" s="21"/>
      <c r="J621" s="22"/>
    </row>
    <row r="622" spans="1:10" ht="13.2" x14ac:dyDescent="0.25">
      <c r="A622" s="17"/>
      <c r="B622" s="17"/>
      <c r="D622" s="18"/>
      <c r="E622" s="18"/>
      <c r="F622" s="18"/>
      <c r="G622" s="18"/>
      <c r="H622" s="58"/>
      <c r="I622" s="21"/>
      <c r="J622" s="22"/>
    </row>
    <row r="623" spans="1:10" ht="13.2" x14ac:dyDescent="0.25">
      <c r="A623" s="17"/>
      <c r="B623" s="17"/>
      <c r="D623" s="18"/>
      <c r="E623" s="18"/>
      <c r="F623" s="18"/>
      <c r="G623" s="18"/>
      <c r="H623" s="58"/>
      <c r="I623" s="21"/>
      <c r="J623" s="22"/>
    </row>
    <row r="624" spans="1:10" ht="13.2" x14ac:dyDescent="0.25">
      <c r="A624" s="17"/>
      <c r="B624" s="17"/>
      <c r="D624" s="18"/>
      <c r="E624" s="18"/>
      <c r="F624" s="18"/>
      <c r="G624" s="18"/>
      <c r="H624" s="58"/>
      <c r="I624" s="21"/>
      <c r="J624" s="22"/>
    </row>
    <row r="625" spans="1:10" ht="13.2" x14ac:dyDescent="0.25">
      <c r="A625" s="17"/>
      <c r="B625" s="17"/>
      <c r="D625" s="18"/>
      <c r="E625" s="18"/>
      <c r="F625" s="18"/>
      <c r="G625" s="18"/>
      <c r="H625" s="58"/>
      <c r="I625" s="21"/>
      <c r="J625" s="22"/>
    </row>
    <row r="626" spans="1:10" ht="13.2" x14ac:dyDescent="0.25">
      <c r="A626" s="17"/>
      <c r="B626" s="17"/>
      <c r="D626" s="18"/>
      <c r="E626" s="18"/>
      <c r="F626" s="18"/>
      <c r="G626" s="18"/>
      <c r="H626" s="58"/>
      <c r="I626" s="21"/>
      <c r="J626" s="22"/>
    </row>
    <row r="627" spans="1:10" ht="13.2" x14ac:dyDescent="0.25">
      <c r="A627" s="17"/>
      <c r="B627" s="17"/>
      <c r="D627" s="18"/>
      <c r="E627" s="18"/>
      <c r="F627" s="18"/>
      <c r="G627" s="18"/>
      <c r="H627" s="58"/>
      <c r="I627" s="21"/>
      <c r="J627" s="22"/>
    </row>
    <row r="628" spans="1:10" ht="13.2" x14ac:dyDescent="0.25">
      <c r="A628" s="17"/>
      <c r="B628" s="17"/>
      <c r="D628" s="18"/>
      <c r="E628" s="18"/>
      <c r="F628" s="18"/>
      <c r="G628" s="18"/>
      <c r="H628" s="58"/>
      <c r="I628" s="21"/>
      <c r="J628" s="22"/>
    </row>
    <row r="629" spans="1:10" ht="13.2" x14ac:dyDescent="0.25">
      <c r="A629" s="17"/>
      <c r="B629" s="17"/>
      <c r="D629" s="18"/>
      <c r="E629" s="18"/>
      <c r="F629" s="18"/>
      <c r="G629" s="18"/>
      <c r="H629" s="58"/>
      <c r="I629" s="21"/>
      <c r="J629" s="22"/>
    </row>
    <row r="630" spans="1:10" ht="13.2" x14ac:dyDescent="0.25">
      <c r="A630" s="17"/>
      <c r="B630" s="17"/>
      <c r="D630" s="18"/>
      <c r="E630" s="18"/>
      <c r="F630" s="18"/>
      <c r="G630" s="18"/>
      <c r="H630" s="58"/>
      <c r="I630" s="21"/>
      <c r="J630" s="22"/>
    </row>
    <row r="631" spans="1:10" ht="13.2" x14ac:dyDescent="0.25">
      <c r="A631" s="17"/>
      <c r="B631" s="17"/>
      <c r="D631" s="18"/>
      <c r="E631" s="18"/>
      <c r="F631" s="18"/>
      <c r="G631" s="18"/>
      <c r="H631" s="58"/>
      <c r="I631" s="21"/>
      <c r="J631" s="22"/>
    </row>
    <row r="632" spans="1:10" ht="13.2" x14ac:dyDescent="0.25">
      <c r="A632" s="17"/>
      <c r="B632" s="17"/>
      <c r="D632" s="18"/>
      <c r="E632" s="18"/>
      <c r="F632" s="18"/>
      <c r="G632" s="18"/>
      <c r="H632" s="58"/>
      <c r="I632" s="21"/>
      <c r="J632" s="22"/>
    </row>
    <row r="633" spans="1:10" ht="13.2" x14ac:dyDescent="0.25">
      <c r="A633" s="17"/>
      <c r="B633" s="17"/>
      <c r="D633" s="18"/>
      <c r="E633" s="18"/>
      <c r="F633" s="18"/>
      <c r="G633" s="18"/>
      <c r="H633" s="58"/>
      <c r="I633" s="21"/>
      <c r="J633" s="22"/>
    </row>
    <row r="634" spans="1:10" ht="13.2" x14ac:dyDescent="0.25">
      <c r="A634" s="17"/>
      <c r="B634" s="17"/>
      <c r="D634" s="18"/>
      <c r="E634" s="18"/>
      <c r="F634" s="18"/>
      <c r="G634" s="18"/>
      <c r="H634" s="58"/>
      <c r="I634" s="21"/>
      <c r="J634" s="22"/>
    </row>
    <row r="635" spans="1:10" ht="13.2" x14ac:dyDescent="0.25">
      <c r="A635" s="17"/>
      <c r="B635" s="17"/>
      <c r="D635" s="18"/>
      <c r="E635" s="18"/>
      <c r="F635" s="18"/>
      <c r="G635" s="18"/>
      <c r="H635" s="58"/>
      <c r="I635" s="21"/>
      <c r="J635" s="22"/>
    </row>
    <row r="636" spans="1:10" ht="13.2" x14ac:dyDescent="0.25">
      <c r="A636" s="17"/>
      <c r="B636" s="17"/>
      <c r="D636" s="18"/>
      <c r="E636" s="18"/>
      <c r="F636" s="18"/>
      <c r="G636" s="18"/>
      <c r="H636" s="58"/>
      <c r="I636" s="21"/>
      <c r="J636" s="22"/>
    </row>
    <row r="637" spans="1:10" ht="13.2" x14ac:dyDescent="0.25">
      <c r="A637" s="17"/>
      <c r="B637" s="17"/>
      <c r="D637" s="18"/>
      <c r="E637" s="18"/>
      <c r="F637" s="18"/>
      <c r="G637" s="18"/>
      <c r="H637" s="58"/>
      <c r="I637" s="21"/>
      <c r="J637" s="22"/>
    </row>
    <row r="638" spans="1:10" ht="13.2" x14ac:dyDescent="0.25">
      <c r="A638" s="17"/>
      <c r="B638" s="17"/>
      <c r="D638" s="18"/>
      <c r="E638" s="18"/>
      <c r="F638" s="18"/>
      <c r="G638" s="18"/>
      <c r="H638" s="58"/>
      <c r="I638" s="21"/>
      <c r="J638" s="22"/>
    </row>
    <row r="639" spans="1:10" ht="13.2" x14ac:dyDescent="0.25">
      <c r="A639" s="17"/>
      <c r="B639" s="17"/>
      <c r="D639" s="18"/>
      <c r="E639" s="18"/>
      <c r="F639" s="18"/>
      <c r="G639" s="18"/>
      <c r="H639" s="58"/>
      <c r="I639" s="21"/>
      <c r="J639" s="22"/>
    </row>
    <row r="640" spans="1:10" ht="13.2" x14ac:dyDescent="0.25">
      <c r="A640" s="17"/>
      <c r="B640" s="17"/>
      <c r="D640" s="18"/>
      <c r="E640" s="18"/>
      <c r="F640" s="18"/>
      <c r="G640" s="18"/>
      <c r="H640" s="58"/>
      <c r="I640" s="21"/>
      <c r="J640" s="22"/>
    </row>
    <row r="641" spans="1:10" ht="13.2" x14ac:dyDescent="0.25">
      <c r="A641" s="17"/>
      <c r="B641" s="17"/>
      <c r="D641" s="18"/>
      <c r="E641" s="18"/>
      <c r="F641" s="18"/>
      <c r="G641" s="18"/>
      <c r="H641" s="58"/>
      <c r="I641" s="21"/>
      <c r="J641" s="22"/>
    </row>
    <row r="642" spans="1:10" ht="13.2" x14ac:dyDescent="0.25">
      <c r="A642" s="17"/>
      <c r="B642" s="17"/>
      <c r="D642" s="18"/>
      <c r="E642" s="18"/>
      <c r="F642" s="18"/>
      <c r="G642" s="18"/>
      <c r="H642" s="58"/>
      <c r="I642" s="21"/>
      <c r="J642" s="22"/>
    </row>
    <row r="643" spans="1:10" ht="13.2" x14ac:dyDescent="0.25">
      <c r="A643" s="17"/>
      <c r="B643" s="17"/>
      <c r="D643" s="18"/>
      <c r="E643" s="18"/>
      <c r="F643" s="18"/>
      <c r="G643" s="18"/>
      <c r="H643" s="58"/>
      <c r="I643" s="21"/>
      <c r="J643" s="22"/>
    </row>
    <row r="644" spans="1:10" ht="13.2" x14ac:dyDescent="0.25">
      <c r="A644" s="17"/>
      <c r="B644" s="17"/>
      <c r="D644" s="18"/>
      <c r="E644" s="18"/>
      <c r="F644" s="18"/>
      <c r="G644" s="18"/>
      <c r="H644" s="58"/>
      <c r="I644" s="21"/>
      <c r="J644" s="22"/>
    </row>
    <row r="645" spans="1:10" ht="13.2" x14ac:dyDescent="0.25">
      <c r="A645" s="17"/>
      <c r="B645" s="17"/>
      <c r="D645" s="18"/>
      <c r="E645" s="18"/>
      <c r="F645" s="18"/>
      <c r="G645" s="18"/>
      <c r="H645" s="58"/>
      <c r="I645" s="21"/>
      <c r="J645" s="22"/>
    </row>
    <row r="646" spans="1:10" ht="13.2" x14ac:dyDescent="0.25">
      <c r="A646" s="17"/>
      <c r="B646" s="17"/>
      <c r="D646" s="18"/>
      <c r="E646" s="18"/>
      <c r="F646" s="18"/>
      <c r="G646" s="18"/>
      <c r="H646" s="58"/>
      <c r="I646" s="21"/>
      <c r="J646" s="22"/>
    </row>
    <row r="647" spans="1:10" ht="13.2" x14ac:dyDescent="0.25">
      <c r="A647" s="17"/>
      <c r="B647" s="17"/>
      <c r="D647" s="18"/>
      <c r="E647" s="18"/>
      <c r="F647" s="18"/>
      <c r="G647" s="18"/>
      <c r="H647" s="58"/>
      <c r="I647" s="21"/>
      <c r="J647" s="22"/>
    </row>
    <row r="648" spans="1:10" ht="13.2" x14ac:dyDescent="0.25">
      <c r="A648" s="17"/>
      <c r="B648" s="17"/>
      <c r="D648" s="18"/>
      <c r="E648" s="18"/>
      <c r="F648" s="18"/>
      <c r="G648" s="18"/>
      <c r="H648" s="58"/>
      <c r="I648" s="21"/>
      <c r="J648" s="22"/>
    </row>
    <row r="649" spans="1:10" ht="13.2" x14ac:dyDescent="0.25">
      <c r="A649" s="17"/>
      <c r="B649" s="17"/>
      <c r="D649" s="18"/>
      <c r="E649" s="18"/>
      <c r="F649" s="18"/>
      <c r="G649" s="18"/>
      <c r="H649" s="58"/>
      <c r="I649" s="21"/>
      <c r="J649" s="22"/>
    </row>
    <row r="650" spans="1:10" ht="13.2" x14ac:dyDescent="0.25">
      <c r="A650" s="17"/>
      <c r="B650" s="17"/>
      <c r="D650" s="18"/>
      <c r="E650" s="18"/>
      <c r="F650" s="18"/>
      <c r="G650" s="18"/>
      <c r="H650" s="58"/>
      <c r="I650" s="21"/>
      <c r="J650" s="22"/>
    </row>
    <row r="651" spans="1:10" ht="13.2" x14ac:dyDescent="0.25">
      <c r="A651" s="17"/>
      <c r="B651" s="17"/>
      <c r="D651" s="18"/>
      <c r="E651" s="18"/>
      <c r="F651" s="18"/>
      <c r="G651" s="18"/>
      <c r="H651" s="58"/>
      <c r="I651" s="21"/>
      <c r="J651" s="22"/>
    </row>
    <row r="652" spans="1:10" ht="13.2" x14ac:dyDescent="0.25">
      <c r="A652" s="17"/>
      <c r="B652" s="17"/>
      <c r="D652" s="18"/>
      <c r="E652" s="18"/>
      <c r="F652" s="18"/>
      <c r="G652" s="18"/>
      <c r="H652" s="58"/>
      <c r="I652" s="21"/>
      <c r="J652" s="22"/>
    </row>
    <row r="653" spans="1:10" ht="13.2" x14ac:dyDescent="0.25">
      <c r="A653" s="17"/>
      <c r="B653" s="17"/>
      <c r="D653" s="18"/>
      <c r="E653" s="18"/>
      <c r="F653" s="18"/>
      <c r="G653" s="18"/>
      <c r="H653" s="58"/>
      <c r="I653" s="21"/>
      <c r="J653" s="22"/>
    </row>
    <row r="654" spans="1:10" ht="13.2" x14ac:dyDescent="0.25">
      <c r="A654" s="17"/>
      <c r="B654" s="17"/>
      <c r="D654" s="18"/>
      <c r="E654" s="18"/>
      <c r="F654" s="18"/>
      <c r="G654" s="18"/>
      <c r="H654" s="58"/>
      <c r="I654" s="21"/>
      <c r="J654" s="22"/>
    </row>
    <row r="655" spans="1:10" ht="13.2" x14ac:dyDescent="0.25">
      <c r="A655" s="17"/>
      <c r="B655" s="17"/>
      <c r="D655" s="18"/>
      <c r="E655" s="18"/>
      <c r="F655" s="18"/>
      <c r="G655" s="18"/>
      <c r="H655" s="58"/>
      <c r="I655" s="21"/>
      <c r="J655" s="22"/>
    </row>
    <row r="656" spans="1:10" ht="13.2" x14ac:dyDescent="0.25">
      <c r="A656" s="17"/>
      <c r="B656" s="17"/>
      <c r="D656" s="18"/>
      <c r="E656" s="18"/>
      <c r="F656" s="18"/>
      <c r="G656" s="18"/>
      <c r="H656" s="58"/>
      <c r="I656" s="21"/>
      <c r="J656" s="22"/>
    </row>
    <row r="657" spans="1:10" ht="13.2" x14ac:dyDescent="0.25">
      <c r="A657" s="17"/>
      <c r="B657" s="17"/>
      <c r="D657" s="18"/>
      <c r="E657" s="18"/>
      <c r="F657" s="18"/>
      <c r="G657" s="18"/>
      <c r="H657" s="58"/>
      <c r="I657" s="21"/>
      <c r="J657" s="22"/>
    </row>
    <row r="658" spans="1:10" ht="13.2" x14ac:dyDescent="0.25">
      <c r="A658" s="17"/>
      <c r="B658" s="17"/>
      <c r="D658" s="18"/>
      <c r="E658" s="18"/>
      <c r="F658" s="18"/>
      <c r="G658" s="18"/>
      <c r="H658" s="58"/>
      <c r="I658" s="21"/>
      <c r="J658" s="22"/>
    </row>
    <row r="659" spans="1:10" ht="13.2" x14ac:dyDescent="0.25">
      <c r="A659" s="17"/>
      <c r="B659" s="17"/>
      <c r="D659" s="18"/>
      <c r="E659" s="18"/>
      <c r="F659" s="18"/>
      <c r="G659" s="18"/>
      <c r="H659" s="58"/>
      <c r="I659" s="21"/>
      <c r="J659" s="22"/>
    </row>
    <row r="660" spans="1:10" ht="13.2" x14ac:dyDescent="0.25">
      <c r="A660" s="17"/>
      <c r="B660" s="17"/>
      <c r="D660" s="18"/>
      <c r="E660" s="18"/>
      <c r="F660" s="18"/>
      <c r="G660" s="18"/>
      <c r="H660" s="58"/>
      <c r="I660" s="21"/>
      <c r="J660" s="22"/>
    </row>
    <row r="661" spans="1:10" ht="13.2" x14ac:dyDescent="0.25">
      <c r="A661" s="17"/>
      <c r="B661" s="17"/>
      <c r="D661" s="18"/>
      <c r="E661" s="18"/>
      <c r="F661" s="18"/>
      <c r="G661" s="18"/>
      <c r="H661" s="58"/>
      <c r="I661" s="21"/>
      <c r="J661" s="22"/>
    </row>
    <row r="662" spans="1:10" ht="13.2" x14ac:dyDescent="0.25">
      <c r="A662" s="17"/>
      <c r="B662" s="17"/>
      <c r="D662" s="18"/>
      <c r="E662" s="18"/>
      <c r="F662" s="18"/>
      <c r="G662" s="18"/>
      <c r="H662" s="58"/>
      <c r="I662" s="21"/>
      <c r="J662" s="22"/>
    </row>
    <row r="663" spans="1:10" ht="13.2" x14ac:dyDescent="0.25">
      <c r="A663" s="17"/>
      <c r="B663" s="17"/>
      <c r="D663" s="18"/>
      <c r="E663" s="18"/>
      <c r="F663" s="18"/>
      <c r="G663" s="18"/>
      <c r="H663" s="58"/>
      <c r="I663" s="21"/>
      <c r="J663" s="22"/>
    </row>
    <row r="664" spans="1:10" ht="13.2" x14ac:dyDescent="0.25">
      <c r="A664" s="17"/>
      <c r="B664" s="17"/>
      <c r="D664" s="18"/>
      <c r="E664" s="18"/>
      <c r="F664" s="18"/>
      <c r="G664" s="18"/>
      <c r="H664" s="58"/>
      <c r="I664" s="21"/>
      <c r="J664" s="22"/>
    </row>
    <row r="665" spans="1:10" ht="13.2" x14ac:dyDescent="0.25">
      <c r="A665" s="17"/>
      <c r="B665" s="17"/>
      <c r="D665" s="18"/>
      <c r="E665" s="18"/>
      <c r="F665" s="18"/>
      <c r="G665" s="18"/>
      <c r="H665" s="58"/>
      <c r="I665" s="21"/>
      <c r="J665" s="22"/>
    </row>
    <row r="666" spans="1:10" ht="13.2" x14ac:dyDescent="0.25">
      <c r="A666" s="17"/>
      <c r="B666" s="17"/>
      <c r="D666" s="18"/>
      <c r="E666" s="18"/>
      <c r="F666" s="18"/>
      <c r="G666" s="18"/>
      <c r="H666" s="58"/>
      <c r="I666" s="21"/>
      <c r="J666" s="22"/>
    </row>
    <row r="667" spans="1:10" ht="13.2" x14ac:dyDescent="0.25">
      <c r="A667" s="17"/>
      <c r="B667" s="17"/>
      <c r="D667" s="18"/>
      <c r="E667" s="18"/>
      <c r="F667" s="18"/>
      <c r="G667" s="18"/>
      <c r="H667" s="58"/>
      <c r="I667" s="21"/>
      <c r="J667" s="22"/>
    </row>
    <row r="668" spans="1:10" ht="13.2" x14ac:dyDescent="0.25">
      <c r="A668" s="17"/>
      <c r="B668" s="17"/>
      <c r="D668" s="18"/>
      <c r="E668" s="18"/>
      <c r="F668" s="18"/>
      <c r="G668" s="18"/>
      <c r="H668" s="58"/>
      <c r="I668" s="21"/>
      <c r="J668" s="22"/>
    </row>
    <row r="669" spans="1:10" ht="13.2" x14ac:dyDescent="0.25">
      <c r="A669" s="17"/>
      <c r="B669" s="17"/>
      <c r="D669" s="18"/>
      <c r="E669" s="18"/>
      <c r="F669" s="18"/>
      <c r="G669" s="18"/>
      <c r="H669" s="58"/>
      <c r="I669" s="21"/>
      <c r="J669" s="22"/>
    </row>
    <row r="670" spans="1:10" ht="13.2" x14ac:dyDescent="0.25">
      <c r="A670" s="17"/>
      <c r="B670" s="17"/>
      <c r="D670" s="18"/>
      <c r="E670" s="18"/>
      <c r="F670" s="18"/>
      <c r="G670" s="18"/>
      <c r="H670" s="58"/>
      <c r="I670" s="21"/>
      <c r="J670" s="22"/>
    </row>
    <row r="671" spans="1:10" ht="13.2" x14ac:dyDescent="0.25">
      <c r="A671" s="17"/>
      <c r="B671" s="17"/>
      <c r="D671" s="18"/>
      <c r="E671" s="18"/>
      <c r="F671" s="18"/>
      <c r="G671" s="18"/>
      <c r="H671" s="58"/>
      <c r="I671" s="21"/>
      <c r="J671" s="22"/>
    </row>
    <row r="672" spans="1:10" ht="13.2" x14ac:dyDescent="0.25">
      <c r="A672" s="17"/>
      <c r="B672" s="17"/>
      <c r="D672" s="18"/>
      <c r="E672" s="18"/>
      <c r="F672" s="18"/>
      <c r="G672" s="18"/>
      <c r="H672" s="58"/>
      <c r="I672" s="21"/>
      <c r="J672" s="22"/>
    </row>
    <row r="673" spans="1:10" ht="13.2" x14ac:dyDescent="0.25">
      <c r="A673" s="17"/>
      <c r="B673" s="17"/>
      <c r="D673" s="18"/>
      <c r="E673" s="18"/>
      <c r="F673" s="18"/>
      <c r="G673" s="18"/>
      <c r="H673" s="58"/>
      <c r="I673" s="21"/>
      <c r="J673" s="22"/>
    </row>
    <row r="674" spans="1:10" ht="13.2" x14ac:dyDescent="0.25">
      <c r="A674" s="17"/>
      <c r="B674" s="17"/>
      <c r="D674" s="18"/>
      <c r="E674" s="18"/>
      <c r="F674" s="18"/>
      <c r="G674" s="18"/>
      <c r="H674" s="58"/>
      <c r="I674" s="21"/>
      <c r="J674" s="22"/>
    </row>
    <row r="675" spans="1:10" ht="13.2" x14ac:dyDescent="0.25">
      <c r="A675" s="17"/>
      <c r="B675" s="17"/>
      <c r="D675" s="18"/>
      <c r="E675" s="18"/>
      <c r="F675" s="18"/>
      <c r="G675" s="18"/>
      <c r="H675" s="58"/>
      <c r="I675" s="21"/>
      <c r="J675" s="22"/>
    </row>
    <row r="676" spans="1:10" ht="13.2" x14ac:dyDescent="0.25">
      <c r="A676" s="17"/>
      <c r="B676" s="17"/>
      <c r="D676" s="18"/>
      <c r="E676" s="18"/>
      <c r="F676" s="18"/>
      <c r="G676" s="18"/>
      <c r="H676" s="58"/>
      <c r="I676" s="21"/>
      <c r="J676" s="22"/>
    </row>
    <row r="677" spans="1:10" ht="13.2" x14ac:dyDescent="0.25">
      <c r="A677" s="17"/>
      <c r="B677" s="17"/>
      <c r="D677" s="18"/>
      <c r="E677" s="18"/>
      <c r="F677" s="18"/>
      <c r="G677" s="18"/>
      <c r="H677" s="58"/>
      <c r="I677" s="21"/>
      <c r="J677" s="22"/>
    </row>
    <row r="678" spans="1:10" ht="13.2" x14ac:dyDescent="0.25">
      <c r="A678" s="17"/>
      <c r="B678" s="17"/>
      <c r="D678" s="18"/>
      <c r="E678" s="18"/>
      <c r="F678" s="18"/>
      <c r="G678" s="18"/>
      <c r="H678" s="58"/>
      <c r="I678" s="21"/>
      <c r="J678" s="22"/>
    </row>
    <row r="679" spans="1:10" ht="13.2" x14ac:dyDescent="0.25">
      <c r="A679" s="17"/>
      <c r="B679" s="17"/>
      <c r="D679" s="18"/>
      <c r="E679" s="18"/>
      <c r="F679" s="18"/>
      <c r="G679" s="18"/>
      <c r="H679" s="58"/>
      <c r="I679" s="21"/>
      <c r="J679" s="22"/>
    </row>
    <row r="680" spans="1:10" ht="13.2" x14ac:dyDescent="0.25">
      <c r="A680" s="17"/>
      <c r="B680" s="17"/>
      <c r="D680" s="18"/>
      <c r="E680" s="18"/>
      <c r="F680" s="18"/>
      <c r="G680" s="18"/>
      <c r="H680" s="58"/>
      <c r="I680" s="21"/>
      <c r="J680" s="22"/>
    </row>
    <row r="681" spans="1:10" ht="13.2" x14ac:dyDescent="0.25">
      <c r="A681" s="17"/>
      <c r="B681" s="17"/>
      <c r="D681" s="18"/>
      <c r="E681" s="18"/>
      <c r="F681" s="18"/>
      <c r="G681" s="18"/>
      <c r="H681" s="58"/>
      <c r="I681" s="21"/>
      <c r="J681" s="22"/>
    </row>
    <row r="682" spans="1:10" ht="13.2" x14ac:dyDescent="0.25">
      <c r="A682" s="17"/>
      <c r="B682" s="17"/>
      <c r="D682" s="18"/>
      <c r="E682" s="18"/>
      <c r="F682" s="18"/>
      <c r="G682" s="18"/>
      <c r="H682" s="58"/>
      <c r="I682" s="21"/>
      <c r="J682" s="22"/>
    </row>
    <row r="683" spans="1:10" ht="13.2" x14ac:dyDescent="0.25">
      <c r="A683" s="17"/>
      <c r="B683" s="17"/>
      <c r="D683" s="18"/>
      <c r="E683" s="18"/>
      <c r="F683" s="18"/>
      <c r="G683" s="18"/>
      <c r="H683" s="58"/>
      <c r="I683" s="21"/>
      <c r="J683" s="22"/>
    </row>
    <row r="684" spans="1:10" ht="13.2" x14ac:dyDescent="0.25">
      <c r="A684" s="17"/>
      <c r="B684" s="17"/>
      <c r="D684" s="18"/>
      <c r="E684" s="18"/>
      <c r="F684" s="18"/>
      <c r="G684" s="18"/>
      <c r="H684" s="58"/>
      <c r="I684" s="21"/>
      <c r="J684" s="22"/>
    </row>
    <row r="685" spans="1:10" ht="13.2" x14ac:dyDescent="0.25">
      <c r="A685" s="17"/>
      <c r="B685" s="17"/>
      <c r="D685" s="18"/>
      <c r="E685" s="18"/>
      <c r="F685" s="18"/>
      <c r="G685" s="18"/>
      <c r="H685" s="58"/>
      <c r="I685" s="21"/>
      <c r="J685" s="22"/>
    </row>
    <row r="686" spans="1:10" ht="13.2" x14ac:dyDescent="0.25">
      <c r="A686" s="17"/>
      <c r="B686" s="17"/>
      <c r="D686" s="18"/>
      <c r="E686" s="18"/>
      <c r="F686" s="18"/>
      <c r="G686" s="18"/>
      <c r="H686" s="58"/>
      <c r="I686" s="21"/>
      <c r="J686" s="22"/>
    </row>
    <row r="687" spans="1:10" ht="13.2" x14ac:dyDescent="0.25">
      <c r="A687" s="17"/>
      <c r="B687" s="17"/>
      <c r="D687" s="18"/>
      <c r="E687" s="18"/>
      <c r="F687" s="18"/>
      <c r="G687" s="18"/>
      <c r="H687" s="58"/>
      <c r="I687" s="21"/>
      <c r="J687" s="22"/>
    </row>
    <row r="688" spans="1:10" ht="13.2" x14ac:dyDescent="0.25">
      <c r="A688" s="17"/>
      <c r="B688" s="17"/>
      <c r="D688" s="18"/>
      <c r="E688" s="18"/>
      <c r="F688" s="18"/>
      <c r="G688" s="18"/>
      <c r="H688" s="58"/>
      <c r="I688" s="21"/>
      <c r="J688" s="22"/>
    </row>
    <row r="689" spans="1:10" ht="13.2" x14ac:dyDescent="0.25">
      <c r="A689" s="17"/>
      <c r="B689" s="17"/>
      <c r="D689" s="18"/>
      <c r="E689" s="18"/>
      <c r="F689" s="18"/>
      <c r="G689" s="18"/>
      <c r="H689" s="58"/>
      <c r="I689" s="21"/>
      <c r="J689" s="22"/>
    </row>
    <row r="690" spans="1:10" ht="13.2" x14ac:dyDescent="0.25">
      <c r="A690" s="17"/>
      <c r="B690" s="17"/>
      <c r="D690" s="18"/>
      <c r="E690" s="18"/>
      <c r="F690" s="18"/>
      <c r="G690" s="18"/>
      <c r="H690" s="58"/>
      <c r="I690" s="21"/>
      <c r="J690" s="22"/>
    </row>
    <row r="691" spans="1:10" ht="13.2" x14ac:dyDescent="0.25">
      <c r="A691" s="17"/>
      <c r="B691" s="17"/>
      <c r="D691" s="18"/>
      <c r="E691" s="18"/>
      <c r="F691" s="18"/>
      <c r="G691" s="18"/>
      <c r="H691" s="58"/>
      <c r="I691" s="21"/>
      <c r="J691" s="22"/>
    </row>
    <row r="692" spans="1:10" ht="13.2" x14ac:dyDescent="0.25">
      <c r="A692" s="17"/>
      <c r="B692" s="17"/>
      <c r="D692" s="18"/>
      <c r="E692" s="18"/>
      <c r="F692" s="18"/>
      <c r="G692" s="18"/>
      <c r="H692" s="58"/>
      <c r="I692" s="21"/>
      <c r="J692" s="22"/>
    </row>
    <row r="693" spans="1:10" ht="13.2" x14ac:dyDescent="0.25">
      <c r="A693" s="17"/>
      <c r="B693" s="17"/>
      <c r="D693" s="18"/>
      <c r="E693" s="18"/>
      <c r="F693" s="18"/>
      <c r="G693" s="18"/>
      <c r="H693" s="58"/>
      <c r="I693" s="21"/>
      <c r="J693" s="22"/>
    </row>
    <row r="694" spans="1:10" ht="13.2" x14ac:dyDescent="0.25">
      <c r="A694" s="17"/>
      <c r="B694" s="17"/>
      <c r="D694" s="18"/>
      <c r="E694" s="18"/>
      <c r="F694" s="18"/>
      <c r="G694" s="18"/>
      <c r="H694" s="58"/>
      <c r="I694" s="21"/>
      <c r="J694" s="22"/>
    </row>
    <row r="695" spans="1:10" ht="13.2" x14ac:dyDescent="0.25">
      <c r="A695" s="17"/>
      <c r="B695" s="17"/>
      <c r="D695" s="18"/>
      <c r="E695" s="18"/>
      <c r="F695" s="18"/>
      <c r="G695" s="18"/>
      <c r="H695" s="58"/>
      <c r="I695" s="21"/>
      <c r="J695" s="22"/>
    </row>
    <row r="696" spans="1:10" ht="13.2" x14ac:dyDescent="0.25">
      <c r="A696" s="17"/>
      <c r="B696" s="17"/>
      <c r="D696" s="18"/>
      <c r="E696" s="18"/>
      <c r="F696" s="18"/>
      <c r="G696" s="18"/>
      <c r="H696" s="58"/>
      <c r="I696" s="21"/>
      <c r="J696" s="22"/>
    </row>
    <row r="697" spans="1:10" ht="13.2" x14ac:dyDescent="0.25">
      <c r="A697" s="17"/>
      <c r="B697" s="17"/>
      <c r="D697" s="18"/>
      <c r="E697" s="18"/>
      <c r="F697" s="18"/>
      <c r="G697" s="18"/>
      <c r="H697" s="58"/>
      <c r="I697" s="21"/>
      <c r="J697" s="22"/>
    </row>
    <row r="698" spans="1:10" ht="13.2" x14ac:dyDescent="0.25">
      <c r="A698" s="17"/>
      <c r="B698" s="17"/>
      <c r="D698" s="18"/>
      <c r="E698" s="18"/>
      <c r="F698" s="18"/>
      <c r="G698" s="18"/>
      <c r="H698" s="58"/>
      <c r="I698" s="21"/>
      <c r="J698" s="22"/>
    </row>
    <row r="699" spans="1:10" ht="13.2" x14ac:dyDescent="0.25">
      <c r="A699" s="17"/>
      <c r="B699" s="17"/>
      <c r="D699" s="18"/>
      <c r="E699" s="18"/>
      <c r="F699" s="18"/>
      <c r="G699" s="18"/>
      <c r="H699" s="58"/>
      <c r="I699" s="21"/>
      <c r="J699" s="22"/>
    </row>
    <row r="700" spans="1:10" ht="13.2" x14ac:dyDescent="0.25">
      <c r="A700" s="17"/>
      <c r="B700" s="17"/>
      <c r="D700" s="18"/>
      <c r="E700" s="18"/>
      <c r="F700" s="18"/>
      <c r="G700" s="18"/>
      <c r="H700" s="58"/>
      <c r="I700" s="21"/>
      <c r="J700" s="22"/>
    </row>
    <row r="701" spans="1:10" ht="13.2" x14ac:dyDescent="0.25">
      <c r="A701" s="17"/>
      <c r="B701" s="17"/>
      <c r="D701" s="18"/>
      <c r="E701" s="18"/>
      <c r="F701" s="18"/>
      <c r="G701" s="18"/>
      <c r="H701" s="58"/>
      <c r="I701" s="21"/>
      <c r="J701" s="22"/>
    </row>
    <row r="702" spans="1:10" ht="13.2" x14ac:dyDescent="0.25">
      <c r="A702" s="17"/>
      <c r="B702" s="17"/>
      <c r="D702" s="18"/>
      <c r="E702" s="18"/>
      <c r="F702" s="18"/>
      <c r="G702" s="18"/>
      <c r="H702" s="58"/>
      <c r="I702" s="21"/>
      <c r="J702" s="22"/>
    </row>
    <row r="703" spans="1:10" ht="13.2" x14ac:dyDescent="0.25">
      <c r="A703" s="17"/>
      <c r="B703" s="17"/>
      <c r="D703" s="18"/>
      <c r="E703" s="18"/>
      <c r="F703" s="18"/>
      <c r="G703" s="18"/>
      <c r="H703" s="58"/>
      <c r="I703" s="21"/>
      <c r="J703" s="22"/>
    </row>
    <row r="704" spans="1:10" ht="13.2" x14ac:dyDescent="0.25">
      <c r="A704" s="17"/>
      <c r="B704" s="17"/>
      <c r="D704" s="18"/>
      <c r="E704" s="18"/>
      <c r="F704" s="18"/>
      <c r="G704" s="18"/>
      <c r="H704" s="58"/>
      <c r="I704" s="21"/>
      <c r="J704" s="22"/>
    </row>
    <row r="705" spans="1:10" ht="13.2" x14ac:dyDescent="0.25">
      <c r="A705" s="17"/>
      <c r="B705" s="17"/>
      <c r="D705" s="18"/>
      <c r="E705" s="18"/>
      <c r="F705" s="18"/>
      <c r="G705" s="18"/>
      <c r="H705" s="58"/>
      <c r="I705" s="21"/>
      <c r="J705" s="22"/>
    </row>
    <row r="706" spans="1:10" ht="13.2" x14ac:dyDescent="0.25">
      <c r="A706" s="17"/>
      <c r="B706" s="17"/>
      <c r="D706" s="18"/>
      <c r="E706" s="18"/>
      <c r="F706" s="18"/>
      <c r="G706" s="18"/>
      <c r="H706" s="58"/>
      <c r="I706" s="21"/>
      <c r="J706" s="22"/>
    </row>
    <row r="707" spans="1:10" ht="13.2" x14ac:dyDescent="0.25">
      <c r="A707" s="17"/>
      <c r="B707" s="17"/>
      <c r="D707" s="18"/>
      <c r="E707" s="18"/>
      <c r="F707" s="18"/>
      <c r="G707" s="18"/>
      <c r="H707" s="58"/>
      <c r="I707" s="21"/>
      <c r="J707" s="22"/>
    </row>
    <row r="708" spans="1:10" ht="13.2" x14ac:dyDescent="0.25">
      <c r="A708" s="17"/>
      <c r="B708" s="17"/>
      <c r="D708" s="18"/>
      <c r="E708" s="18"/>
      <c r="F708" s="18"/>
      <c r="G708" s="18"/>
      <c r="H708" s="58"/>
      <c r="I708" s="21"/>
      <c r="J708" s="22"/>
    </row>
    <row r="709" spans="1:10" ht="13.2" x14ac:dyDescent="0.25">
      <c r="A709" s="17"/>
      <c r="B709" s="17"/>
      <c r="D709" s="18"/>
      <c r="E709" s="18"/>
      <c r="F709" s="18"/>
      <c r="G709" s="18"/>
      <c r="H709" s="58"/>
      <c r="I709" s="21"/>
      <c r="J709" s="22"/>
    </row>
    <row r="710" spans="1:10" ht="13.2" x14ac:dyDescent="0.25">
      <c r="A710" s="17"/>
      <c r="B710" s="17"/>
      <c r="D710" s="18"/>
      <c r="E710" s="18"/>
      <c r="F710" s="18"/>
      <c r="G710" s="18"/>
      <c r="H710" s="58"/>
      <c r="I710" s="21"/>
      <c r="J710" s="22"/>
    </row>
    <row r="711" spans="1:10" ht="13.2" x14ac:dyDescent="0.25">
      <c r="A711" s="17"/>
      <c r="B711" s="17"/>
      <c r="D711" s="18"/>
      <c r="E711" s="18"/>
      <c r="F711" s="18"/>
      <c r="G711" s="18"/>
      <c r="H711" s="58"/>
      <c r="I711" s="21"/>
      <c r="J711" s="22"/>
    </row>
    <row r="712" spans="1:10" ht="13.2" x14ac:dyDescent="0.25">
      <c r="A712" s="17"/>
      <c r="B712" s="17"/>
      <c r="D712" s="18"/>
      <c r="E712" s="18"/>
      <c r="F712" s="18"/>
      <c r="G712" s="18"/>
      <c r="H712" s="58"/>
      <c r="I712" s="21"/>
      <c r="J712" s="22"/>
    </row>
    <row r="713" spans="1:10" ht="13.2" x14ac:dyDescent="0.25">
      <c r="A713" s="17"/>
      <c r="B713" s="17"/>
      <c r="D713" s="18"/>
      <c r="E713" s="18"/>
      <c r="F713" s="18"/>
      <c r="G713" s="18"/>
      <c r="H713" s="58"/>
      <c r="I713" s="21"/>
      <c r="J713" s="22"/>
    </row>
    <row r="714" spans="1:10" ht="13.2" x14ac:dyDescent="0.25">
      <c r="A714" s="17"/>
      <c r="B714" s="17"/>
      <c r="D714" s="18"/>
      <c r="E714" s="18"/>
      <c r="F714" s="18"/>
      <c r="G714" s="18"/>
      <c r="H714" s="58"/>
      <c r="I714" s="21"/>
      <c r="J714" s="22"/>
    </row>
    <row r="715" spans="1:10" ht="13.2" x14ac:dyDescent="0.25">
      <c r="A715" s="17"/>
      <c r="B715" s="17"/>
      <c r="D715" s="18"/>
      <c r="E715" s="18"/>
      <c r="F715" s="18"/>
      <c r="G715" s="18"/>
      <c r="H715" s="58"/>
      <c r="I715" s="21"/>
      <c r="J715" s="22"/>
    </row>
    <row r="716" spans="1:10" ht="13.2" x14ac:dyDescent="0.25">
      <c r="A716" s="17"/>
      <c r="B716" s="17"/>
      <c r="D716" s="18"/>
      <c r="E716" s="18"/>
      <c r="F716" s="18"/>
      <c r="G716" s="18"/>
      <c r="H716" s="58"/>
      <c r="I716" s="21"/>
      <c r="J716" s="22"/>
    </row>
    <row r="717" spans="1:10" ht="13.2" x14ac:dyDescent="0.25">
      <c r="A717" s="17"/>
      <c r="B717" s="17"/>
      <c r="D717" s="18"/>
      <c r="E717" s="18"/>
      <c r="F717" s="18"/>
      <c r="G717" s="18"/>
      <c r="H717" s="58"/>
      <c r="I717" s="21"/>
      <c r="J717" s="22"/>
    </row>
    <row r="718" spans="1:10" ht="13.2" x14ac:dyDescent="0.25">
      <c r="A718" s="17"/>
      <c r="B718" s="17"/>
      <c r="D718" s="18"/>
      <c r="E718" s="18"/>
      <c r="F718" s="18"/>
      <c r="G718" s="18"/>
      <c r="H718" s="58"/>
      <c r="I718" s="21"/>
      <c r="J718" s="22"/>
    </row>
    <row r="719" spans="1:10" ht="13.2" x14ac:dyDescent="0.25">
      <c r="A719" s="17"/>
      <c r="B719" s="17"/>
      <c r="D719" s="18"/>
      <c r="E719" s="18"/>
      <c r="F719" s="18"/>
      <c r="G719" s="18"/>
      <c r="H719" s="58"/>
      <c r="I719" s="21"/>
      <c r="J719" s="22"/>
    </row>
    <row r="720" spans="1:10" ht="13.2" x14ac:dyDescent="0.25">
      <c r="A720" s="17"/>
      <c r="B720" s="17"/>
      <c r="D720" s="18"/>
      <c r="E720" s="18"/>
      <c r="F720" s="18"/>
      <c r="G720" s="18"/>
      <c r="H720" s="58"/>
      <c r="I720" s="21"/>
      <c r="J720" s="22"/>
    </row>
    <row r="721" spans="1:10" ht="13.2" x14ac:dyDescent="0.25">
      <c r="A721" s="17"/>
      <c r="B721" s="17"/>
      <c r="D721" s="18"/>
      <c r="E721" s="18"/>
      <c r="F721" s="18"/>
      <c r="G721" s="18"/>
      <c r="H721" s="58"/>
      <c r="I721" s="21"/>
      <c r="J721" s="22"/>
    </row>
    <row r="722" spans="1:10" ht="13.2" x14ac:dyDescent="0.25">
      <c r="A722" s="17"/>
      <c r="B722" s="17"/>
      <c r="D722" s="18"/>
      <c r="E722" s="18"/>
      <c r="F722" s="18"/>
      <c r="G722" s="18"/>
      <c r="H722" s="58"/>
      <c r="I722" s="21"/>
      <c r="J722" s="22"/>
    </row>
    <row r="723" spans="1:10" ht="13.2" x14ac:dyDescent="0.25">
      <c r="A723" s="17"/>
      <c r="B723" s="17"/>
      <c r="D723" s="18"/>
      <c r="E723" s="18"/>
      <c r="F723" s="18"/>
      <c r="G723" s="18"/>
      <c r="H723" s="58"/>
      <c r="I723" s="21"/>
      <c r="J723" s="22"/>
    </row>
    <row r="724" spans="1:10" ht="13.2" x14ac:dyDescent="0.25">
      <c r="A724" s="17"/>
      <c r="B724" s="17"/>
      <c r="D724" s="18"/>
      <c r="E724" s="18"/>
      <c r="F724" s="18"/>
      <c r="G724" s="18"/>
      <c r="H724" s="58"/>
      <c r="I724" s="21"/>
      <c r="J724" s="22"/>
    </row>
    <row r="725" spans="1:10" ht="13.2" x14ac:dyDescent="0.25">
      <c r="A725" s="17"/>
      <c r="B725" s="17"/>
      <c r="D725" s="18"/>
      <c r="E725" s="18"/>
      <c r="F725" s="18"/>
      <c r="G725" s="18"/>
      <c r="H725" s="58"/>
      <c r="I725" s="21"/>
      <c r="J725" s="22"/>
    </row>
    <row r="726" spans="1:10" ht="13.2" x14ac:dyDescent="0.25">
      <c r="A726" s="17"/>
      <c r="B726" s="17"/>
      <c r="D726" s="18"/>
      <c r="E726" s="18"/>
      <c r="F726" s="18"/>
      <c r="G726" s="18"/>
      <c r="H726" s="58"/>
      <c r="I726" s="21"/>
      <c r="J726" s="22"/>
    </row>
    <row r="727" spans="1:10" ht="13.2" x14ac:dyDescent="0.25">
      <c r="A727" s="17"/>
      <c r="B727" s="17"/>
      <c r="D727" s="18"/>
      <c r="E727" s="18"/>
      <c r="F727" s="18"/>
      <c r="G727" s="18"/>
      <c r="H727" s="58"/>
      <c r="I727" s="21"/>
      <c r="J727" s="22"/>
    </row>
    <row r="728" spans="1:10" ht="13.2" x14ac:dyDescent="0.25">
      <c r="A728" s="17"/>
      <c r="B728" s="17"/>
      <c r="D728" s="18"/>
      <c r="E728" s="18"/>
      <c r="F728" s="18"/>
      <c r="G728" s="18"/>
      <c r="H728" s="58"/>
      <c r="I728" s="21"/>
      <c r="J728" s="22"/>
    </row>
    <row r="729" spans="1:10" ht="13.2" x14ac:dyDescent="0.25">
      <c r="A729" s="17"/>
      <c r="B729" s="17"/>
      <c r="D729" s="18"/>
      <c r="E729" s="18"/>
      <c r="F729" s="18"/>
      <c r="G729" s="18"/>
      <c r="H729" s="58"/>
      <c r="I729" s="21"/>
      <c r="J729" s="22"/>
    </row>
    <row r="730" spans="1:10" ht="13.2" x14ac:dyDescent="0.25">
      <c r="A730" s="17"/>
      <c r="B730" s="17"/>
      <c r="D730" s="18"/>
      <c r="E730" s="18"/>
      <c r="F730" s="18"/>
      <c r="G730" s="18"/>
      <c r="H730" s="58"/>
      <c r="I730" s="21"/>
      <c r="J730" s="22"/>
    </row>
    <row r="731" spans="1:10" ht="13.2" x14ac:dyDescent="0.25">
      <c r="A731" s="17"/>
      <c r="B731" s="17"/>
      <c r="D731" s="18"/>
      <c r="E731" s="18"/>
      <c r="F731" s="18"/>
      <c r="G731" s="18"/>
      <c r="H731" s="58"/>
      <c r="I731" s="21"/>
      <c r="J731" s="22"/>
    </row>
    <row r="732" spans="1:10" ht="13.2" x14ac:dyDescent="0.25">
      <c r="A732" s="17"/>
      <c r="B732" s="17"/>
      <c r="D732" s="18"/>
      <c r="E732" s="18"/>
      <c r="F732" s="18"/>
      <c r="G732" s="18"/>
      <c r="H732" s="58"/>
      <c r="I732" s="21"/>
      <c r="J732" s="22"/>
    </row>
    <row r="733" spans="1:10" ht="13.2" x14ac:dyDescent="0.25">
      <c r="A733" s="17"/>
      <c r="B733" s="17"/>
      <c r="D733" s="18"/>
      <c r="E733" s="18"/>
      <c r="F733" s="18"/>
      <c r="G733" s="18"/>
      <c r="H733" s="58"/>
      <c r="I733" s="21"/>
      <c r="J733" s="22"/>
    </row>
    <row r="734" spans="1:10" ht="13.2" x14ac:dyDescent="0.25">
      <c r="A734" s="17"/>
      <c r="B734" s="17"/>
      <c r="D734" s="18"/>
      <c r="E734" s="18"/>
      <c r="F734" s="18"/>
      <c r="G734" s="18"/>
      <c r="H734" s="58"/>
      <c r="I734" s="21"/>
      <c r="J734" s="22"/>
    </row>
    <row r="735" spans="1:10" ht="13.2" x14ac:dyDescent="0.25">
      <c r="A735" s="17"/>
      <c r="B735" s="17"/>
      <c r="D735" s="18"/>
      <c r="E735" s="18"/>
      <c r="F735" s="18"/>
      <c r="G735" s="18"/>
      <c r="H735" s="58"/>
      <c r="I735" s="21"/>
      <c r="J735" s="22"/>
    </row>
    <row r="736" spans="1:10" ht="13.2" x14ac:dyDescent="0.25">
      <c r="A736" s="17"/>
      <c r="B736" s="17"/>
      <c r="D736" s="18"/>
      <c r="E736" s="18"/>
      <c r="F736" s="18"/>
      <c r="G736" s="18"/>
      <c r="H736" s="58"/>
      <c r="I736" s="21"/>
      <c r="J736" s="22"/>
    </row>
    <row r="737" spans="1:10" ht="13.2" x14ac:dyDescent="0.25">
      <c r="A737" s="17"/>
      <c r="B737" s="17"/>
      <c r="D737" s="18"/>
      <c r="E737" s="18"/>
      <c r="F737" s="18"/>
      <c r="G737" s="18"/>
      <c r="H737" s="58"/>
      <c r="I737" s="21"/>
      <c r="J737" s="22"/>
    </row>
    <row r="738" spans="1:10" ht="13.2" x14ac:dyDescent="0.25">
      <c r="A738" s="17"/>
      <c r="B738" s="17"/>
      <c r="D738" s="18"/>
      <c r="E738" s="18"/>
      <c r="F738" s="18"/>
      <c r="G738" s="18"/>
      <c r="H738" s="58"/>
      <c r="I738" s="21"/>
      <c r="J738" s="22"/>
    </row>
    <row r="739" spans="1:10" ht="13.2" x14ac:dyDescent="0.25">
      <c r="A739" s="17"/>
      <c r="B739" s="17"/>
      <c r="D739" s="18"/>
      <c r="E739" s="18"/>
      <c r="F739" s="18"/>
      <c r="G739" s="18"/>
      <c r="H739" s="58"/>
      <c r="I739" s="21"/>
      <c r="J739" s="22"/>
    </row>
    <row r="740" spans="1:10" ht="13.2" x14ac:dyDescent="0.25">
      <c r="A740" s="17"/>
      <c r="B740" s="17"/>
      <c r="D740" s="18"/>
      <c r="E740" s="18"/>
      <c r="F740" s="18"/>
      <c r="G740" s="18"/>
      <c r="H740" s="58"/>
      <c r="I740" s="21"/>
      <c r="J740" s="22"/>
    </row>
    <row r="741" spans="1:10" ht="13.2" x14ac:dyDescent="0.25">
      <c r="A741" s="17"/>
      <c r="B741" s="17"/>
      <c r="D741" s="18"/>
      <c r="E741" s="18"/>
      <c r="F741" s="18"/>
      <c r="G741" s="18"/>
      <c r="H741" s="58"/>
      <c r="I741" s="21"/>
      <c r="J741" s="22"/>
    </row>
    <row r="742" spans="1:10" ht="13.2" x14ac:dyDescent="0.25">
      <c r="A742" s="17"/>
      <c r="B742" s="17"/>
      <c r="D742" s="18"/>
      <c r="E742" s="18"/>
      <c r="F742" s="18"/>
      <c r="G742" s="18"/>
      <c r="H742" s="58"/>
      <c r="I742" s="21"/>
      <c r="J742" s="22"/>
    </row>
    <row r="743" spans="1:10" ht="13.2" x14ac:dyDescent="0.25">
      <c r="A743" s="17"/>
      <c r="B743" s="17"/>
      <c r="D743" s="18"/>
      <c r="E743" s="18"/>
      <c r="F743" s="18"/>
      <c r="G743" s="18"/>
      <c r="H743" s="58"/>
      <c r="I743" s="21"/>
      <c r="J743" s="22"/>
    </row>
    <row r="744" spans="1:10" ht="13.2" x14ac:dyDescent="0.25">
      <c r="A744" s="17"/>
      <c r="B744" s="17"/>
      <c r="D744" s="18"/>
      <c r="E744" s="18"/>
      <c r="F744" s="18"/>
      <c r="G744" s="18"/>
      <c r="H744" s="58"/>
      <c r="I744" s="21"/>
      <c r="J744" s="22"/>
    </row>
    <row r="745" spans="1:10" ht="13.2" x14ac:dyDescent="0.25">
      <c r="A745" s="17"/>
      <c r="B745" s="17"/>
      <c r="D745" s="18"/>
      <c r="E745" s="18"/>
      <c r="F745" s="18"/>
      <c r="G745" s="18"/>
      <c r="H745" s="58"/>
      <c r="I745" s="21"/>
      <c r="J745" s="22"/>
    </row>
    <row r="746" spans="1:10" ht="13.2" x14ac:dyDescent="0.25">
      <c r="A746" s="17"/>
      <c r="B746" s="17"/>
      <c r="D746" s="18"/>
      <c r="E746" s="18"/>
      <c r="F746" s="18"/>
      <c r="G746" s="18"/>
      <c r="H746" s="58"/>
      <c r="I746" s="21"/>
      <c r="J746" s="22"/>
    </row>
    <row r="747" spans="1:10" ht="13.2" x14ac:dyDescent="0.25">
      <c r="A747" s="17"/>
      <c r="B747" s="17"/>
      <c r="D747" s="18"/>
      <c r="E747" s="18"/>
      <c r="F747" s="18"/>
      <c r="G747" s="18"/>
      <c r="H747" s="58"/>
      <c r="I747" s="21"/>
      <c r="J747" s="22"/>
    </row>
    <row r="748" spans="1:10" ht="13.2" x14ac:dyDescent="0.25">
      <c r="A748" s="17"/>
      <c r="B748" s="17"/>
      <c r="D748" s="18"/>
      <c r="E748" s="18"/>
      <c r="F748" s="18"/>
      <c r="G748" s="18"/>
      <c r="H748" s="58"/>
      <c r="I748" s="21"/>
      <c r="J748" s="22"/>
    </row>
    <row r="749" spans="1:10" ht="13.2" x14ac:dyDescent="0.25">
      <c r="A749" s="17"/>
      <c r="B749" s="17"/>
      <c r="D749" s="18"/>
      <c r="E749" s="18"/>
      <c r="F749" s="18"/>
      <c r="G749" s="18"/>
      <c r="H749" s="58"/>
      <c r="I749" s="21"/>
      <c r="J749" s="22"/>
    </row>
    <row r="750" spans="1:10" ht="13.2" x14ac:dyDescent="0.25">
      <c r="A750" s="17"/>
      <c r="B750" s="17"/>
      <c r="D750" s="18"/>
      <c r="E750" s="18"/>
      <c r="F750" s="18"/>
      <c r="G750" s="18"/>
      <c r="H750" s="58"/>
      <c r="I750" s="21"/>
      <c r="J750" s="22"/>
    </row>
    <row r="751" spans="1:10" ht="13.2" x14ac:dyDescent="0.25">
      <c r="A751" s="17"/>
      <c r="B751" s="17"/>
      <c r="D751" s="18"/>
      <c r="E751" s="18"/>
      <c r="F751" s="18"/>
      <c r="G751" s="18"/>
      <c r="H751" s="58"/>
      <c r="I751" s="21"/>
      <c r="J751" s="22"/>
    </row>
    <row r="752" spans="1:10" ht="13.2" x14ac:dyDescent="0.25">
      <c r="A752" s="17"/>
      <c r="B752" s="17"/>
      <c r="D752" s="18"/>
      <c r="E752" s="18"/>
      <c r="F752" s="18"/>
      <c r="G752" s="18"/>
      <c r="H752" s="58"/>
      <c r="I752" s="21"/>
      <c r="J752" s="22"/>
    </row>
    <row r="753" spans="1:10" ht="13.2" x14ac:dyDescent="0.25">
      <c r="A753" s="17"/>
      <c r="B753" s="17"/>
      <c r="D753" s="18"/>
      <c r="E753" s="18"/>
      <c r="F753" s="18"/>
      <c r="G753" s="18"/>
      <c r="H753" s="58"/>
      <c r="I753" s="21"/>
      <c r="J753" s="22"/>
    </row>
    <row r="754" spans="1:10" ht="13.2" x14ac:dyDescent="0.25">
      <c r="A754" s="17"/>
      <c r="B754" s="17"/>
      <c r="D754" s="18"/>
      <c r="E754" s="18"/>
      <c r="F754" s="18"/>
      <c r="G754" s="18"/>
      <c r="H754" s="58"/>
      <c r="I754" s="21"/>
      <c r="J754" s="22"/>
    </row>
    <row r="755" spans="1:10" ht="13.2" x14ac:dyDescent="0.25">
      <c r="A755" s="17"/>
      <c r="B755" s="17"/>
      <c r="D755" s="18"/>
      <c r="E755" s="18"/>
      <c r="F755" s="18"/>
      <c r="G755" s="18"/>
      <c r="H755" s="58"/>
      <c r="I755" s="21"/>
      <c r="J755" s="22"/>
    </row>
    <row r="756" spans="1:10" ht="13.2" x14ac:dyDescent="0.25">
      <c r="A756" s="17"/>
      <c r="B756" s="17"/>
      <c r="D756" s="18"/>
      <c r="E756" s="18"/>
      <c r="F756" s="18"/>
      <c r="G756" s="18"/>
      <c r="H756" s="58"/>
      <c r="I756" s="21"/>
      <c r="J756" s="22"/>
    </row>
    <row r="757" spans="1:10" ht="13.2" x14ac:dyDescent="0.25">
      <c r="A757" s="17"/>
      <c r="B757" s="17"/>
      <c r="D757" s="18"/>
      <c r="E757" s="18"/>
      <c r="F757" s="18"/>
      <c r="G757" s="18"/>
      <c r="H757" s="58"/>
      <c r="I757" s="21"/>
      <c r="J757" s="22"/>
    </row>
    <row r="758" spans="1:10" ht="13.2" x14ac:dyDescent="0.25">
      <c r="A758" s="17"/>
      <c r="B758" s="17"/>
      <c r="D758" s="18"/>
      <c r="E758" s="18"/>
      <c r="F758" s="18"/>
      <c r="G758" s="18"/>
      <c r="H758" s="58"/>
      <c r="I758" s="21"/>
      <c r="J758" s="22"/>
    </row>
    <row r="759" spans="1:10" ht="13.2" x14ac:dyDescent="0.25">
      <c r="A759" s="17"/>
      <c r="B759" s="17"/>
      <c r="D759" s="18"/>
      <c r="E759" s="18"/>
      <c r="F759" s="18"/>
      <c r="G759" s="18"/>
      <c r="H759" s="58"/>
      <c r="I759" s="21"/>
      <c r="J759" s="22"/>
    </row>
    <row r="760" spans="1:10" ht="13.2" x14ac:dyDescent="0.25">
      <c r="A760" s="17"/>
      <c r="B760" s="17"/>
      <c r="D760" s="18"/>
      <c r="E760" s="18"/>
      <c r="F760" s="18"/>
      <c r="G760" s="18"/>
      <c r="H760" s="58"/>
      <c r="I760" s="21"/>
      <c r="J760" s="22"/>
    </row>
    <row r="761" spans="1:10" ht="13.2" x14ac:dyDescent="0.25">
      <c r="A761" s="17"/>
      <c r="B761" s="17"/>
      <c r="D761" s="18"/>
      <c r="E761" s="18"/>
      <c r="F761" s="18"/>
      <c r="G761" s="18"/>
      <c r="H761" s="58"/>
      <c r="I761" s="21"/>
      <c r="J761" s="22"/>
    </row>
    <row r="762" spans="1:10" ht="13.2" x14ac:dyDescent="0.25">
      <c r="A762" s="17"/>
      <c r="B762" s="17"/>
      <c r="D762" s="18"/>
      <c r="E762" s="18"/>
      <c r="F762" s="18"/>
      <c r="G762" s="18"/>
      <c r="H762" s="58"/>
      <c r="I762" s="21"/>
      <c r="J762" s="22"/>
    </row>
    <row r="763" spans="1:10" ht="13.2" x14ac:dyDescent="0.25">
      <c r="A763" s="17"/>
      <c r="B763" s="17"/>
      <c r="D763" s="18"/>
      <c r="E763" s="18"/>
      <c r="F763" s="18"/>
      <c r="G763" s="18"/>
      <c r="H763" s="58"/>
      <c r="I763" s="21"/>
      <c r="J763" s="22"/>
    </row>
    <row r="764" spans="1:10" ht="13.2" x14ac:dyDescent="0.25">
      <c r="A764" s="17"/>
      <c r="B764" s="17"/>
      <c r="D764" s="18"/>
      <c r="E764" s="18"/>
      <c r="F764" s="18"/>
      <c r="G764" s="18"/>
      <c r="H764" s="58"/>
      <c r="I764" s="21"/>
      <c r="J764" s="22"/>
    </row>
    <row r="765" spans="1:10" ht="13.2" x14ac:dyDescent="0.25">
      <c r="A765" s="17"/>
      <c r="B765" s="17"/>
      <c r="D765" s="18"/>
      <c r="E765" s="18"/>
      <c r="F765" s="18"/>
      <c r="G765" s="18"/>
      <c r="H765" s="58"/>
      <c r="I765" s="21"/>
      <c r="J765" s="22"/>
    </row>
    <row r="766" spans="1:10" ht="13.2" x14ac:dyDescent="0.25">
      <c r="A766" s="17"/>
      <c r="B766" s="17"/>
      <c r="D766" s="18"/>
      <c r="E766" s="18"/>
      <c r="F766" s="18"/>
      <c r="G766" s="18"/>
      <c r="H766" s="58"/>
      <c r="I766" s="21"/>
      <c r="J766" s="22"/>
    </row>
    <row r="767" spans="1:10" ht="13.2" x14ac:dyDescent="0.25">
      <c r="A767" s="17"/>
      <c r="B767" s="17"/>
      <c r="D767" s="18"/>
      <c r="E767" s="18"/>
      <c r="F767" s="18"/>
      <c r="G767" s="18"/>
      <c r="H767" s="58"/>
      <c r="I767" s="21"/>
      <c r="J767" s="22"/>
    </row>
    <row r="768" spans="1:10" ht="13.2" x14ac:dyDescent="0.25">
      <c r="A768" s="17"/>
      <c r="B768" s="17"/>
      <c r="D768" s="18"/>
      <c r="E768" s="18"/>
      <c r="F768" s="18"/>
      <c r="G768" s="18"/>
      <c r="H768" s="58"/>
      <c r="I768" s="21"/>
      <c r="J768" s="22"/>
    </row>
    <row r="769" spans="1:10" ht="13.2" x14ac:dyDescent="0.25">
      <c r="A769" s="17"/>
      <c r="B769" s="17"/>
      <c r="D769" s="18"/>
      <c r="E769" s="18"/>
      <c r="F769" s="18"/>
      <c r="G769" s="18"/>
      <c r="H769" s="58"/>
      <c r="I769" s="21"/>
      <c r="J769" s="22"/>
    </row>
    <row r="770" spans="1:10" ht="13.2" x14ac:dyDescent="0.25">
      <c r="A770" s="17"/>
      <c r="B770" s="17"/>
      <c r="D770" s="18"/>
      <c r="E770" s="18"/>
      <c r="F770" s="18"/>
      <c r="G770" s="18"/>
      <c r="H770" s="58"/>
      <c r="I770" s="21"/>
      <c r="J770" s="22"/>
    </row>
    <row r="771" spans="1:10" ht="13.2" x14ac:dyDescent="0.25">
      <c r="A771" s="17"/>
      <c r="B771" s="17"/>
      <c r="D771" s="18"/>
      <c r="E771" s="18"/>
      <c r="F771" s="18"/>
      <c r="G771" s="18"/>
      <c r="H771" s="58"/>
      <c r="I771" s="21"/>
      <c r="J771" s="22"/>
    </row>
    <row r="772" spans="1:10" ht="13.2" x14ac:dyDescent="0.25">
      <c r="A772" s="17"/>
      <c r="B772" s="17"/>
      <c r="D772" s="18"/>
      <c r="E772" s="18"/>
      <c r="F772" s="18"/>
      <c r="G772" s="18"/>
      <c r="H772" s="58"/>
      <c r="I772" s="21"/>
      <c r="J772" s="22"/>
    </row>
    <row r="773" spans="1:10" ht="13.2" x14ac:dyDescent="0.25">
      <c r="A773" s="17"/>
      <c r="B773" s="17"/>
      <c r="D773" s="18"/>
      <c r="E773" s="18"/>
      <c r="F773" s="18"/>
      <c r="G773" s="18"/>
      <c r="H773" s="58"/>
      <c r="I773" s="21"/>
      <c r="J773" s="22"/>
    </row>
    <row r="774" spans="1:10" ht="13.2" x14ac:dyDescent="0.25">
      <c r="A774" s="17"/>
      <c r="B774" s="17"/>
      <c r="D774" s="18"/>
      <c r="E774" s="18"/>
      <c r="F774" s="18"/>
      <c r="G774" s="18"/>
      <c r="H774" s="58"/>
      <c r="I774" s="21"/>
      <c r="J774" s="22"/>
    </row>
    <row r="775" spans="1:10" ht="13.2" x14ac:dyDescent="0.25">
      <c r="A775" s="17"/>
      <c r="B775" s="17"/>
      <c r="D775" s="18"/>
      <c r="E775" s="18"/>
      <c r="F775" s="18"/>
      <c r="G775" s="18"/>
      <c r="H775" s="58"/>
      <c r="I775" s="21"/>
      <c r="J775" s="22"/>
    </row>
    <row r="776" spans="1:10" ht="13.2" x14ac:dyDescent="0.25">
      <c r="A776" s="17"/>
      <c r="B776" s="17"/>
      <c r="D776" s="18"/>
      <c r="E776" s="18"/>
      <c r="F776" s="18"/>
      <c r="G776" s="18"/>
      <c r="H776" s="58"/>
      <c r="I776" s="21"/>
      <c r="J776" s="22"/>
    </row>
    <row r="777" spans="1:10" ht="13.2" x14ac:dyDescent="0.25">
      <c r="A777" s="17"/>
      <c r="B777" s="17"/>
      <c r="D777" s="18"/>
      <c r="E777" s="18"/>
      <c r="F777" s="18"/>
      <c r="G777" s="18"/>
      <c r="H777" s="58"/>
      <c r="I777" s="21"/>
      <c r="J777" s="22"/>
    </row>
    <row r="778" spans="1:10" ht="13.2" x14ac:dyDescent="0.25">
      <c r="A778" s="17"/>
      <c r="B778" s="17"/>
      <c r="D778" s="18"/>
      <c r="E778" s="18"/>
      <c r="F778" s="18"/>
      <c r="G778" s="18"/>
      <c r="H778" s="58"/>
      <c r="I778" s="21"/>
      <c r="J778" s="22"/>
    </row>
    <row r="779" spans="1:10" ht="13.2" x14ac:dyDescent="0.25">
      <c r="A779" s="17"/>
      <c r="B779" s="17"/>
      <c r="D779" s="18"/>
      <c r="E779" s="18"/>
      <c r="F779" s="18"/>
      <c r="G779" s="18"/>
      <c r="H779" s="58"/>
      <c r="I779" s="21"/>
      <c r="J779" s="22"/>
    </row>
    <row r="780" spans="1:10" ht="13.2" x14ac:dyDescent="0.25">
      <c r="A780" s="17"/>
      <c r="B780" s="17"/>
      <c r="D780" s="18"/>
      <c r="E780" s="18"/>
      <c r="F780" s="18"/>
      <c r="G780" s="18"/>
      <c r="H780" s="58"/>
      <c r="I780" s="21"/>
      <c r="J780" s="22"/>
    </row>
    <row r="781" spans="1:10" ht="13.2" x14ac:dyDescent="0.25">
      <c r="A781" s="17"/>
      <c r="B781" s="17"/>
      <c r="D781" s="18"/>
      <c r="E781" s="18"/>
      <c r="F781" s="18"/>
      <c r="G781" s="18"/>
      <c r="H781" s="58"/>
      <c r="I781" s="21"/>
      <c r="J781" s="22"/>
    </row>
    <row r="782" spans="1:10" ht="13.2" x14ac:dyDescent="0.25">
      <c r="A782" s="17"/>
      <c r="B782" s="17"/>
      <c r="D782" s="18"/>
      <c r="E782" s="18"/>
      <c r="F782" s="18"/>
      <c r="G782" s="18"/>
      <c r="H782" s="58"/>
      <c r="I782" s="21"/>
      <c r="J782" s="22"/>
    </row>
    <row r="783" spans="1:10" ht="13.2" x14ac:dyDescent="0.25">
      <c r="A783" s="17"/>
      <c r="B783" s="17"/>
      <c r="D783" s="18"/>
      <c r="E783" s="18"/>
      <c r="F783" s="18"/>
      <c r="G783" s="18"/>
      <c r="H783" s="58"/>
      <c r="I783" s="21"/>
      <c r="J783" s="22"/>
    </row>
    <row r="784" spans="1:10" ht="13.2" x14ac:dyDescent="0.25">
      <c r="A784" s="17"/>
      <c r="B784" s="17"/>
      <c r="D784" s="18"/>
      <c r="E784" s="18"/>
      <c r="F784" s="18"/>
      <c r="G784" s="18"/>
      <c r="H784" s="58"/>
      <c r="I784" s="21"/>
      <c r="J784" s="22"/>
    </row>
    <row r="785" spans="1:10" ht="13.2" x14ac:dyDescent="0.25">
      <c r="A785" s="17"/>
      <c r="B785" s="17"/>
      <c r="D785" s="18"/>
      <c r="E785" s="18"/>
      <c r="F785" s="18"/>
      <c r="G785" s="18"/>
      <c r="H785" s="58"/>
      <c r="I785" s="21"/>
      <c r="J785" s="22"/>
    </row>
    <row r="786" spans="1:10" ht="13.2" x14ac:dyDescent="0.25">
      <c r="A786" s="17"/>
      <c r="B786" s="17"/>
      <c r="D786" s="18"/>
      <c r="E786" s="18"/>
      <c r="F786" s="18"/>
      <c r="G786" s="18"/>
      <c r="H786" s="58"/>
      <c r="I786" s="21"/>
      <c r="J786" s="22"/>
    </row>
    <row r="787" spans="1:10" ht="13.2" x14ac:dyDescent="0.25">
      <c r="A787" s="17"/>
      <c r="B787" s="17"/>
      <c r="D787" s="18"/>
      <c r="E787" s="18"/>
      <c r="F787" s="18"/>
      <c r="G787" s="18"/>
      <c r="H787" s="58"/>
      <c r="I787" s="21"/>
      <c r="J787" s="22"/>
    </row>
    <row r="788" spans="1:10" ht="13.2" x14ac:dyDescent="0.25">
      <c r="A788" s="17"/>
      <c r="B788" s="17"/>
      <c r="D788" s="18"/>
      <c r="E788" s="18"/>
      <c r="F788" s="18"/>
      <c r="G788" s="18"/>
      <c r="H788" s="58"/>
      <c r="I788" s="21"/>
      <c r="J788" s="22"/>
    </row>
    <row r="789" spans="1:10" ht="13.2" x14ac:dyDescent="0.25">
      <c r="A789" s="17"/>
      <c r="B789" s="17"/>
      <c r="D789" s="18"/>
      <c r="E789" s="18"/>
      <c r="F789" s="18"/>
      <c r="G789" s="18"/>
      <c r="H789" s="58"/>
      <c r="I789" s="21"/>
      <c r="J789" s="22"/>
    </row>
    <row r="790" spans="1:10" ht="13.2" x14ac:dyDescent="0.25">
      <c r="A790" s="17"/>
      <c r="B790" s="17"/>
      <c r="D790" s="18"/>
      <c r="E790" s="18"/>
      <c r="F790" s="18"/>
      <c r="G790" s="18"/>
      <c r="H790" s="58"/>
      <c r="I790" s="21"/>
      <c r="J790" s="22"/>
    </row>
    <row r="791" spans="1:10" ht="13.2" x14ac:dyDescent="0.25">
      <c r="A791" s="17"/>
      <c r="B791" s="17"/>
      <c r="D791" s="18"/>
      <c r="E791" s="18"/>
      <c r="F791" s="18"/>
      <c r="G791" s="18"/>
      <c r="H791" s="58"/>
      <c r="I791" s="21"/>
      <c r="J791" s="22"/>
    </row>
    <row r="792" spans="1:10" ht="13.2" x14ac:dyDescent="0.25">
      <c r="A792" s="17"/>
      <c r="B792" s="17"/>
      <c r="D792" s="18"/>
      <c r="E792" s="18"/>
      <c r="F792" s="18"/>
      <c r="G792" s="18"/>
      <c r="H792" s="58"/>
      <c r="I792" s="21"/>
      <c r="J792" s="22"/>
    </row>
    <row r="793" spans="1:10" ht="13.2" x14ac:dyDescent="0.25">
      <c r="A793" s="17"/>
      <c r="B793" s="17"/>
      <c r="D793" s="18"/>
      <c r="E793" s="18"/>
      <c r="F793" s="18"/>
      <c r="G793" s="18"/>
      <c r="H793" s="58"/>
      <c r="I793" s="21"/>
      <c r="J793" s="22"/>
    </row>
    <row r="794" spans="1:10" ht="13.2" x14ac:dyDescent="0.25">
      <c r="A794" s="17"/>
      <c r="B794" s="17"/>
      <c r="D794" s="18"/>
      <c r="E794" s="18"/>
      <c r="F794" s="18"/>
      <c r="G794" s="18"/>
      <c r="H794" s="58"/>
      <c r="I794" s="21"/>
      <c r="J794" s="22"/>
    </row>
    <row r="795" spans="1:10" ht="13.2" x14ac:dyDescent="0.25">
      <c r="A795" s="17"/>
      <c r="B795" s="17"/>
      <c r="D795" s="18"/>
      <c r="E795" s="18"/>
      <c r="F795" s="18"/>
      <c r="G795" s="18"/>
      <c r="H795" s="58"/>
      <c r="I795" s="21"/>
      <c r="J795" s="22"/>
    </row>
    <row r="796" spans="1:10" ht="13.2" x14ac:dyDescent="0.25">
      <c r="A796" s="17"/>
      <c r="B796" s="17"/>
      <c r="D796" s="18"/>
      <c r="E796" s="18"/>
      <c r="F796" s="18"/>
      <c r="G796" s="18"/>
      <c r="H796" s="58"/>
      <c r="I796" s="21"/>
      <c r="J796" s="22"/>
    </row>
    <row r="797" spans="1:10" ht="13.2" x14ac:dyDescent="0.25">
      <c r="A797" s="17"/>
      <c r="B797" s="17"/>
      <c r="D797" s="18"/>
      <c r="E797" s="18"/>
      <c r="F797" s="18"/>
      <c r="G797" s="18"/>
      <c r="H797" s="58"/>
      <c r="I797" s="21"/>
      <c r="J797" s="22"/>
    </row>
    <row r="798" spans="1:10" ht="13.2" x14ac:dyDescent="0.25">
      <c r="A798" s="17"/>
      <c r="B798" s="17"/>
      <c r="D798" s="18"/>
      <c r="E798" s="18"/>
      <c r="F798" s="18"/>
      <c r="G798" s="18"/>
      <c r="H798" s="58"/>
      <c r="I798" s="21"/>
      <c r="J798" s="22"/>
    </row>
    <row r="799" spans="1:10" ht="13.2" x14ac:dyDescent="0.25">
      <c r="A799" s="17"/>
      <c r="B799" s="17"/>
      <c r="D799" s="18"/>
      <c r="E799" s="18"/>
      <c r="F799" s="18"/>
      <c r="G799" s="18"/>
      <c r="H799" s="58"/>
      <c r="I799" s="21"/>
      <c r="J799" s="22"/>
    </row>
    <row r="800" spans="1:10" ht="13.2" x14ac:dyDescent="0.25">
      <c r="A800" s="17"/>
      <c r="B800" s="17"/>
      <c r="D800" s="18"/>
      <c r="E800" s="18"/>
      <c r="F800" s="18"/>
      <c r="G800" s="18"/>
      <c r="H800" s="58"/>
      <c r="I800" s="21"/>
      <c r="J800" s="22"/>
    </row>
    <row r="801" spans="1:10" ht="13.2" x14ac:dyDescent="0.25">
      <c r="A801" s="17"/>
      <c r="B801" s="17"/>
      <c r="D801" s="18"/>
      <c r="E801" s="18"/>
      <c r="F801" s="18"/>
      <c r="G801" s="18"/>
      <c r="H801" s="58"/>
      <c r="I801" s="21"/>
      <c r="J801" s="22"/>
    </row>
    <row r="802" spans="1:10" ht="13.2" x14ac:dyDescent="0.25">
      <c r="A802" s="17"/>
      <c r="B802" s="17"/>
      <c r="D802" s="18"/>
      <c r="E802" s="18"/>
      <c r="F802" s="18"/>
      <c r="G802" s="18"/>
      <c r="H802" s="58"/>
      <c r="I802" s="21"/>
      <c r="J802" s="22"/>
    </row>
    <row r="803" spans="1:10" ht="13.2" x14ac:dyDescent="0.25">
      <c r="A803" s="17"/>
      <c r="B803" s="17"/>
      <c r="D803" s="18"/>
      <c r="E803" s="18"/>
      <c r="F803" s="18"/>
      <c r="G803" s="18"/>
      <c r="H803" s="58"/>
      <c r="I803" s="21"/>
      <c r="J803" s="22"/>
    </row>
    <row r="804" spans="1:10" ht="13.2" x14ac:dyDescent="0.25">
      <c r="A804" s="17"/>
      <c r="B804" s="17"/>
      <c r="D804" s="18"/>
      <c r="E804" s="18"/>
      <c r="F804" s="18"/>
      <c r="G804" s="18"/>
      <c r="H804" s="58"/>
      <c r="I804" s="21"/>
      <c r="J804" s="22"/>
    </row>
    <row r="805" spans="1:10" ht="13.2" x14ac:dyDescent="0.25">
      <c r="A805" s="17"/>
      <c r="B805" s="17"/>
      <c r="D805" s="18"/>
      <c r="E805" s="18"/>
      <c r="F805" s="18"/>
      <c r="G805" s="18"/>
      <c r="H805" s="58"/>
      <c r="I805" s="21"/>
      <c r="J805" s="22"/>
    </row>
    <row r="806" spans="1:10" ht="13.2" x14ac:dyDescent="0.25">
      <c r="A806" s="17"/>
      <c r="B806" s="17"/>
      <c r="D806" s="18"/>
      <c r="E806" s="18"/>
      <c r="F806" s="18"/>
      <c r="G806" s="18"/>
      <c r="H806" s="58"/>
      <c r="I806" s="21"/>
      <c r="J806" s="22"/>
    </row>
    <row r="807" spans="1:10" ht="13.2" x14ac:dyDescent="0.25">
      <c r="A807" s="17"/>
      <c r="B807" s="17"/>
      <c r="D807" s="18"/>
      <c r="E807" s="18"/>
      <c r="F807" s="18"/>
      <c r="G807" s="18"/>
      <c r="H807" s="58"/>
      <c r="I807" s="21"/>
      <c r="J807" s="22"/>
    </row>
    <row r="808" spans="1:10" ht="13.2" x14ac:dyDescent="0.25">
      <c r="A808" s="17"/>
      <c r="B808" s="17"/>
      <c r="D808" s="18"/>
      <c r="E808" s="18"/>
      <c r="F808" s="18"/>
      <c r="G808" s="18"/>
      <c r="H808" s="58"/>
      <c r="I808" s="21"/>
      <c r="J808" s="22"/>
    </row>
    <row r="809" spans="1:10" ht="13.2" x14ac:dyDescent="0.25">
      <c r="A809" s="17"/>
      <c r="B809" s="17"/>
      <c r="D809" s="18"/>
      <c r="E809" s="18"/>
      <c r="F809" s="18"/>
      <c r="G809" s="18"/>
      <c r="H809" s="58"/>
      <c r="I809" s="21"/>
      <c r="J809" s="22"/>
    </row>
    <row r="810" spans="1:10" ht="13.2" x14ac:dyDescent="0.25">
      <c r="A810" s="17"/>
      <c r="B810" s="17"/>
      <c r="D810" s="18"/>
      <c r="E810" s="18"/>
      <c r="F810" s="18"/>
      <c r="G810" s="18"/>
      <c r="H810" s="58"/>
      <c r="I810" s="21"/>
      <c r="J810" s="22"/>
    </row>
    <row r="811" spans="1:10" ht="13.2" x14ac:dyDescent="0.25">
      <c r="A811" s="17"/>
      <c r="B811" s="17"/>
      <c r="D811" s="18"/>
      <c r="E811" s="18"/>
      <c r="F811" s="18"/>
      <c r="G811" s="18"/>
      <c r="H811" s="58"/>
      <c r="I811" s="21"/>
      <c r="J811" s="22"/>
    </row>
    <row r="812" spans="1:10" ht="13.2" x14ac:dyDescent="0.25">
      <c r="A812" s="17"/>
      <c r="B812" s="17"/>
      <c r="D812" s="18"/>
      <c r="E812" s="18"/>
      <c r="F812" s="18"/>
      <c r="G812" s="18"/>
      <c r="H812" s="58"/>
      <c r="I812" s="21"/>
      <c r="J812" s="22"/>
    </row>
    <row r="813" spans="1:10" ht="13.2" x14ac:dyDescent="0.25">
      <c r="A813" s="17"/>
      <c r="B813" s="17"/>
      <c r="D813" s="18"/>
      <c r="E813" s="18"/>
      <c r="F813" s="18"/>
      <c r="G813" s="18"/>
      <c r="H813" s="58"/>
      <c r="I813" s="21"/>
      <c r="J813" s="22"/>
    </row>
    <row r="814" spans="1:10" ht="13.2" x14ac:dyDescent="0.25">
      <c r="A814" s="17"/>
      <c r="B814" s="17"/>
      <c r="D814" s="18"/>
      <c r="E814" s="18"/>
      <c r="F814" s="18"/>
      <c r="G814" s="18"/>
      <c r="H814" s="58"/>
      <c r="I814" s="21"/>
      <c r="J814" s="22"/>
    </row>
    <row r="815" spans="1:10" ht="13.2" x14ac:dyDescent="0.25">
      <c r="A815" s="17"/>
      <c r="B815" s="17"/>
      <c r="D815" s="18"/>
      <c r="E815" s="18"/>
      <c r="F815" s="18"/>
      <c r="G815" s="18"/>
      <c r="H815" s="58"/>
      <c r="I815" s="21"/>
      <c r="J815" s="22"/>
    </row>
    <row r="816" spans="1:10" ht="13.2" x14ac:dyDescent="0.25">
      <c r="A816" s="17"/>
      <c r="B816" s="17"/>
      <c r="D816" s="18"/>
      <c r="E816" s="18"/>
      <c r="F816" s="18"/>
      <c r="G816" s="18"/>
      <c r="H816" s="58"/>
      <c r="I816" s="21"/>
      <c r="J816" s="22"/>
    </row>
    <row r="817" spans="1:10" ht="13.2" x14ac:dyDescent="0.25">
      <c r="A817" s="17"/>
      <c r="B817" s="17"/>
      <c r="D817" s="18"/>
      <c r="E817" s="18"/>
      <c r="F817" s="18"/>
      <c r="G817" s="18"/>
      <c r="H817" s="58"/>
      <c r="I817" s="21"/>
      <c r="J817" s="22"/>
    </row>
    <row r="818" spans="1:10" ht="13.2" x14ac:dyDescent="0.25">
      <c r="A818" s="17"/>
      <c r="B818" s="17"/>
      <c r="D818" s="18"/>
      <c r="E818" s="18"/>
      <c r="F818" s="18"/>
      <c r="G818" s="18"/>
      <c r="H818" s="58"/>
      <c r="I818" s="21"/>
      <c r="J818" s="22"/>
    </row>
    <row r="819" spans="1:10" ht="13.2" x14ac:dyDescent="0.25">
      <c r="A819" s="17"/>
      <c r="B819" s="17"/>
      <c r="D819" s="18"/>
      <c r="E819" s="18"/>
      <c r="F819" s="18"/>
      <c r="G819" s="18"/>
      <c r="H819" s="58"/>
      <c r="I819" s="21"/>
      <c r="J819" s="22"/>
    </row>
    <row r="820" spans="1:10" ht="13.2" x14ac:dyDescent="0.25">
      <c r="A820" s="17"/>
      <c r="B820" s="17"/>
      <c r="D820" s="18"/>
      <c r="E820" s="18"/>
      <c r="F820" s="18"/>
      <c r="G820" s="18"/>
      <c r="H820" s="58"/>
      <c r="I820" s="21"/>
      <c r="J820" s="22"/>
    </row>
    <row r="821" spans="1:10" ht="13.2" x14ac:dyDescent="0.25">
      <c r="A821" s="17"/>
      <c r="B821" s="17"/>
      <c r="D821" s="18"/>
      <c r="E821" s="18"/>
      <c r="F821" s="18"/>
      <c r="G821" s="18"/>
      <c r="H821" s="58"/>
      <c r="I821" s="21"/>
      <c r="J821" s="22"/>
    </row>
    <row r="822" spans="1:10" ht="13.2" x14ac:dyDescent="0.25">
      <c r="A822" s="17"/>
      <c r="B822" s="17"/>
      <c r="D822" s="18"/>
      <c r="E822" s="18"/>
      <c r="F822" s="18"/>
      <c r="G822" s="18"/>
      <c r="H822" s="58"/>
      <c r="I822" s="21"/>
      <c r="J822" s="22"/>
    </row>
    <row r="823" spans="1:10" ht="13.2" x14ac:dyDescent="0.25">
      <c r="A823" s="17"/>
      <c r="B823" s="17"/>
      <c r="D823" s="18"/>
      <c r="E823" s="18"/>
      <c r="F823" s="18"/>
      <c r="G823" s="18"/>
      <c r="H823" s="58"/>
      <c r="I823" s="21"/>
      <c r="J823" s="22"/>
    </row>
    <row r="824" spans="1:10" ht="13.2" x14ac:dyDescent="0.25">
      <c r="A824" s="17"/>
      <c r="B824" s="17"/>
      <c r="D824" s="18"/>
      <c r="E824" s="18"/>
      <c r="F824" s="18"/>
      <c r="G824" s="18"/>
      <c r="H824" s="58"/>
      <c r="I824" s="21"/>
      <c r="J824" s="22"/>
    </row>
    <row r="825" spans="1:10" ht="13.2" x14ac:dyDescent="0.25">
      <c r="A825" s="17"/>
      <c r="B825" s="17"/>
      <c r="D825" s="18"/>
      <c r="E825" s="18"/>
      <c r="F825" s="18"/>
      <c r="G825" s="18"/>
      <c r="H825" s="58"/>
      <c r="I825" s="21"/>
      <c r="J825" s="22"/>
    </row>
    <row r="826" spans="1:10" ht="13.2" x14ac:dyDescent="0.25">
      <c r="A826" s="17"/>
      <c r="B826" s="17"/>
      <c r="D826" s="18"/>
      <c r="E826" s="18"/>
      <c r="F826" s="18"/>
      <c r="G826" s="18"/>
      <c r="H826" s="58"/>
      <c r="I826" s="21"/>
      <c r="J826" s="22"/>
    </row>
    <row r="827" spans="1:10" ht="13.2" x14ac:dyDescent="0.25">
      <c r="A827" s="17"/>
      <c r="B827" s="17"/>
      <c r="D827" s="18"/>
      <c r="E827" s="18"/>
      <c r="F827" s="18"/>
      <c r="G827" s="18"/>
      <c r="H827" s="58"/>
      <c r="I827" s="21"/>
      <c r="J827" s="22"/>
    </row>
    <row r="828" spans="1:10" ht="13.2" x14ac:dyDescent="0.25">
      <c r="A828" s="17"/>
      <c r="B828" s="17"/>
      <c r="D828" s="18"/>
      <c r="E828" s="18"/>
      <c r="F828" s="18"/>
      <c r="G828" s="18"/>
      <c r="H828" s="58"/>
      <c r="I828" s="21"/>
      <c r="J828" s="22"/>
    </row>
    <row r="829" spans="1:10" ht="13.2" x14ac:dyDescent="0.25">
      <c r="A829" s="17"/>
      <c r="B829" s="17"/>
      <c r="D829" s="18"/>
      <c r="E829" s="18"/>
      <c r="F829" s="18"/>
      <c r="G829" s="18"/>
      <c r="H829" s="58"/>
      <c r="I829" s="21"/>
      <c r="J829" s="22"/>
    </row>
    <row r="830" spans="1:10" ht="13.2" x14ac:dyDescent="0.25">
      <c r="A830" s="17"/>
      <c r="B830" s="17"/>
      <c r="D830" s="18"/>
      <c r="E830" s="18"/>
      <c r="F830" s="18"/>
      <c r="G830" s="18"/>
      <c r="H830" s="58"/>
      <c r="I830" s="21"/>
      <c r="J830" s="22"/>
    </row>
    <row r="831" spans="1:10" ht="13.2" x14ac:dyDescent="0.25">
      <c r="A831" s="17"/>
      <c r="B831" s="17"/>
      <c r="D831" s="18"/>
      <c r="E831" s="18"/>
      <c r="F831" s="18"/>
      <c r="G831" s="18"/>
      <c r="H831" s="58"/>
      <c r="I831" s="21"/>
      <c r="J831" s="22"/>
    </row>
    <row r="832" spans="1:10" ht="13.2" x14ac:dyDescent="0.25">
      <c r="A832" s="17"/>
      <c r="B832" s="17"/>
      <c r="D832" s="18"/>
      <c r="E832" s="18"/>
      <c r="F832" s="18"/>
      <c r="G832" s="18"/>
      <c r="H832" s="58"/>
      <c r="I832" s="21"/>
      <c r="J832" s="22"/>
    </row>
    <row r="833" spans="1:10" ht="13.2" x14ac:dyDescent="0.25">
      <c r="A833" s="17"/>
      <c r="B833" s="17"/>
      <c r="D833" s="18"/>
      <c r="E833" s="18"/>
      <c r="F833" s="18"/>
      <c r="G833" s="18"/>
      <c r="H833" s="58"/>
      <c r="I833" s="21"/>
      <c r="J833" s="22"/>
    </row>
    <row r="834" spans="1:10" ht="13.2" x14ac:dyDescent="0.25">
      <c r="A834" s="17"/>
      <c r="B834" s="17"/>
      <c r="D834" s="18"/>
      <c r="E834" s="18"/>
      <c r="F834" s="18"/>
      <c r="G834" s="18"/>
      <c r="H834" s="58"/>
      <c r="I834" s="21"/>
      <c r="J834" s="22"/>
    </row>
    <row r="835" spans="1:10" ht="13.2" x14ac:dyDescent="0.25">
      <c r="A835" s="17"/>
      <c r="B835" s="17"/>
      <c r="D835" s="18"/>
      <c r="E835" s="18"/>
      <c r="F835" s="18"/>
      <c r="G835" s="18"/>
      <c r="H835" s="58"/>
      <c r="I835" s="21"/>
      <c r="J835" s="22"/>
    </row>
    <row r="836" spans="1:10" ht="13.2" x14ac:dyDescent="0.25">
      <c r="A836" s="17"/>
      <c r="B836" s="17"/>
      <c r="D836" s="18"/>
      <c r="E836" s="18"/>
      <c r="F836" s="18"/>
      <c r="G836" s="18"/>
      <c r="H836" s="58"/>
      <c r="I836" s="21"/>
      <c r="J836" s="22"/>
    </row>
    <row r="837" spans="1:10" ht="13.2" x14ac:dyDescent="0.25">
      <c r="A837" s="17"/>
      <c r="B837" s="17"/>
      <c r="D837" s="18"/>
      <c r="E837" s="18"/>
      <c r="F837" s="18"/>
      <c r="G837" s="18"/>
      <c r="H837" s="58"/>
      <c r="I837" s="21"/>
      <c r="J837" s="22"/>
    </row>
    <row r="838" spans="1:10" ht="13.2" x14ac:dyDescent="0.25">
      <c r="A838" s="17"/>
      <c r="B838" s="17"/>
      <c r="D838" s="18"/>
      <c r="E838" s="18"/>
      <c r="F838" s="18"/>
      <c r="G838" s="18"/>
      <c r="H838" s="58"/>
      <c r="I838" s="21"/>
      <c r="J838" s="22"/>
    </row>
    <row r="839" spans="1:10" ht="13.2" x14ac:dyDescent="0.25">
      <c r="A839" s="17"/>
      <c r="B839" s="17"/>
      <c r="D839" s="18"/>
      <c r="E839" s="18"/>
      <c r="F839" s="18"/>
      <c r="G839" s="18"/>
      <c r="H839" s="58"/>
      <c r="I839" s="21"/>
      <c r="J839" s="22"/>
    </row>
    <row r="840" spans="1:10" ht="13.2" x14ac:dyDescent="0.25">
      <c r="A840" s="17"/>
      <c r="B840" s="17"/>
      <c r="D840" s="18"/>
      <c r="E840" s="18"/>
      <c r="F840" s="18"/>
      <c r="G840" s="18"/>
      <c r="H840" s="58"/>
      <c r="I840" s="21"/>
      <c r="J840" s="22"/>
    </row>
    <row r="841" spans="1:10" ht="13.2" x14ac:dyDescent="0.25">
      <c r="A841" s="17"/>
      <c r="B841" s="17"/>
      <c r="D841" s="18"/>
      <c r="E841" s="18"/>
      <c r="F841" s="18"/>
      <c r="G841" s="18"/>
      <c r="H841" s="58"/>
      <c r="I841" s="21"/>
      <c r="J841" s="22"/>
    </row>
    <row r="842" spans="1:10" ht="13.2" x14ac:dyDescent="0.25">
      <c r="A842" s="17"/>
      <c r="B842" s="17"/>
      <c r="D842" s="18"/>
      <c r="E842" s="18"/>
      <c r="F842" s="18"/>
      <c r="G842" s="18"/>
      <c r="H842" s="58"/>
      <c r="I842" s="21"/>
      <c r="J842" s="22"/>
    </row>
    <row r="843" spans="1:10" ht="13.2" x14ac:dyDescent="0.25">
      <c r="A843" s="17"/>
      <c r="B843" s="17"/>
      <c r="D843" s="18"/>
      <c r="E843" s="18"/>
      <c r="F843" s="18"/>
      <c r="G843" s="18"/>
      <c r="H843" s="58"/>
      <c r="I843" s="21"/>
      <c r="J843" s="22"/>
    </row>
    <row r="844" spans="1:10" ht="13.2" x14ac:dyDescent="0.25">
      <c r="A844" s="17"/>
      <c r="B844" s="17"/>
      <c r="D844" s="18"/>
      <c r="E844" s="18"/>
      <c r="F844" s="18"/>
      <c r="G844" s="18"/>
      <c r="H844" s="58"/>
      <c r="I844" s="21"/>
      <c r="J844" s="22"/>
    </row>
    <row r="845" spans="1:10" ht="13.2" x14ac:dyDescent="0.25">
      <c r="A845" s="17"/>
      <c r="B845" s="17"/>
      <c r="D845" s="18"/>
      <c r="E845" s="18"/>
      <c r="F845" s="18"/>
      <c r="G845" s="18"/>
      <c r="H845" s="58"/>
      <c r="I845" s="21"/>
      <c r="J845" s="22"/>
    </row>
    <row r="846" spans="1:10" ht="13.2" x14ac:dyDescent="0.25">
      <c r="A846" s="17"/>
      <c r="B846" s="17"/>
      <c r="D846" s="18"/>
      <c r="E846" s="18"/>
      <c r="F846" s="18"/>
      <c r="G846" s="18"/>
      <c r="H846" s="58"/>
      <c r="I846" s="21"/>
      <c r="J846" s="22"/>
    </row>
    <row r="847" spans="1:10" ht="13.2" x14ac:dyDescent="0.25">
      <c r="A847" s="17"/>
      <c r="B847" s="17"/>
      <c r="D847" s="18"/>
      <c r="E847" s="18"/>
      <c r="F847" s="18"/>
      <c r="G847" s="18"/>
      <c r="H847" s="58"/>
      <c r="I847" s="21"/>
      <c r="J847" s="22"/>
    </row>
    <row r="848" spans="1:10" ht="13.2" x14ac:dyDescent="0.25">
      <c r="A848" s="17"/>
      <c r="B848" s="17"/>
      <c r="D848" s="18"/>
      <c r="E848" s="18"/>
      <c r="F848" s="18"/>
      <c r="G848" s="18"/>
      <c r="H848" s="58"/>
      <c r="I848" s="21"/>
      <c r="J848" s="22"/>
    </row>
    <row r="849" spans="1:10" ht="13.2" x14ac:dyDescent="0.25">
      <c r="A849" s="17"/>
      <c r="B849" s="17"/>
      <c r="D849" s="18"/>
      <c r="E849" s="18"/>
      <c r="F849" s="18"/>
      <c r="G849" s="18"/>
      <c r="H849" s="58"/>
      <c r="I849" s="21"/>
      <c r="J849" s="22"/>
    </row>
    <row r="850" spans="1:10" ht="13.2" x14ac:dyDescent="0.25">
      <c r="A850" s="17"/>
      <c r="B850" s="17"/>
      <c r="D850" s="18"/>
      <c r="E850" s="18"/>
      <c r="F850" s="18"/>
      <c r="G850" s="18"/>
      <c r="H850" s="58"/>
      <c r="I850" s="21"/>
      <c r="J850" s="22"/>
    </row>
    <row r="851" spans="1:10" ht="13.2" x14ac:dyDescent="0.25">
      <c r="A851" s="17"/>
      <c r="B851" s="17"/>
      <c r="D851" s="18"/>
      <c r="E851" s="18"/>
      <c r="F851" s="18"/>
      <c r="G851" s="18"/>
      <c r="H851" s="58"/>
      <c r="I851" s="21"/>
      <c r="J851" s="22"/>
    </row>
    <row r="852" spans="1:10" ht="13.2" x14ac:dyDescent="0.25">
      <c r="A852" s="17"/>
      <c r="B852" s="17"/>
      <c r="D852" s="18"/>
      <c r="E852" s="18"/>
      <c r="F852" s="18"/>
      <c r="G852" s="18"/>
      <c r="H852" s="58"/>
      <c r="I852" s="21"/>
      <c r="J852" s="22"/>
    </row>
    <row r="853" spans="1:10" ht="13.2" x14ac:dyDescent="0.25">
      <c r="A853" s="17"/>
      <c r="B853" s="17"/>
      <c r="D853" s="18"/>
      <c r="E853" s="18"/>
      <c r="F853" s="18"/>
      <c r="G853" s="18"/>
      <c r="H853" s="58"/>
      <c r="I853" s="21"/>
      <c r="J853" s="22"/>
    </row>
    <row r="854" spans="1:10" ht="13.2" x14ac:dyDescent="0.25">
      <c r="A854" s="17"/>
      <c r="B854" s="17"/>
      <c r="D854" s="18"/>
      <c r="E854" s="18"/>
      <c r="F854" s="18"/>
      <c r="G854" s="18"/>
      <c r="H854" s="58"/>
      <c r="I854" s="21"/>
      <c r="J854" s="22"/>
    </row>
    <row r="855" spans="1:10" ht="13.2" x14ac:dyDescent="0.25">
      <c r="A855" s="17"/>
      <c r="B855" s="17"/>
      <c r="D855" s="18"/>
      <c r="E855" s="18"/>
      <c r="F855" s="18"/>
      <c r="G855" s="18"/>
      <c r="H855" s="58"/>
      <c r="I855" s="21"/>
      <c r="J855" s="22"/>
    </row>
    <row r="856" spans="1:10" ht="13.2" x14ac:dyDescent="0.25">
      <c r="A856" s="17"/>
      <c r="B856" s="17"/>
      <c r="D856" s="18"/>
      <c r="E856" s="18"/>
      <c r="F856" s="18"/>
      <c r="G856" s="18"/>
      <c r="H856" s="58"/>
      <c r="I856" s="21"/>
      <c r="J856" s="22"/>
    </row>
    <row r="857" spans="1:10" ht="13.2" x14ac:dyDescent="0.25">
      <c r="A857" s="17"/>
      <c r="B857" s="17"/>
      <c r="D857" s="18"/>
      <c r="E857" s="18"/>
      <c r="F857" s="18"/>
      <c r="G857" s="18"/>
      <c r="H857" s="58"/>
      <c r="I857" s="21"/>
      <c r="J857" s="22"/>
    </row>
    <row r="858" spans="1:10" ht="13.2" x14ac:dyDescent="0.25">
      <c r="A858" s="17"/>
      <c r="B858" s="17"/>
      <c r="D858" s="18"/>
      <c r="E858" s="18"/>
      <c r="F858" s="18"/>
      <c r="G858" s="18"/>
      <c r="H858" s="58"/>
      <c r="I858" s="21"/>
      <c r="J858" s="22"/>
    </row>
    <row r="859" spans="1:10" ht="13.2" x14ac:dyDescent="0.25">
      <c r="A859" s="17"/>
      <c r="B859" s="17"/>
      <c r="D859" s="18"/>
      <c r="E859" s="18"/>
      <c r="F859" s="18"/>
      <c r="G859" s="18"/>
      <c r="H859" s="58"/>
      <c r="I859" s="21"/>
      <c r="J859" s="22"/>
    </row>
    <row r="860" spans="1:10" ht="13.2" x14ac:dyDescent="0.25">
      <c r="A860" s="17"/>
      <c r="B860" s="17"/>
      <c r="D860" s="18"/>
      <c r="E860" s="18"/>
      <c r="F860" s="18"/>
      <c r="G860" s="18"/>
      <c r="H860" s="58"/>
      <c r="I860" s="21"/>
      <c r="J860" s="22"/>
    </row>
    <row r="861" spans="1:10" ht="13.2" x14ac:dyDescent="0.25">
      <c r="A861" s="17"/>
      <c r="B861" s="17"/>
      <c r="D861" s="18"/>
      <c r="E861" s="18"/>
      <c r="F861" s="18"/>
      <c r="G861" s="18"/>
      <c r="H861" s="58"/>
      <c r="I861" s="21"/>
      <c r="J861" s="22"/>
    </row>
    <row r="862" spans="1:10" ht="13.2" x14ac:dyDescent="0.25">
      <c r="A862" s="17"/>
      <c r="B862" s="17"/>
      <c r="D862" s="18"/>
      <c r="E862" s="18"/>
      <c r="F862" s="18"/>
      <c r="G862" s="18"/>
      <c r="H862" s="58"/>
      <c r="I862" s="21"/>
      <c r="J862" s="22"/>
    </row>
    <row r="863" spans="1:10" ht="13.2" x14ac:dyDescent="0.25">
      <c r="A863" s="17"/>
      <c r="B863" s="17"/>
      <c r="D863" s="18"/>
      <c r="E863" s="18"/>
      <c r="F863" s="18"/>
      <c r="G863" s="18"/>
      <c r="H863" s="58"/>
      <c r="I863" s="21"/>
      <c r="J863" s="22"/>
    </row>
    <row r="864" spans="1:10" ht="13.2" x14ac:dyDescent="0.25">
      <c r="A864" s="17"/>
      <c r="B864" s="17"/>
      <c r="D864" s="18"/>
      <c r="E864" s="18"/>
      <c r="F864" s="18"/>
      <c r="G864" s="18"/>
      <c r="H864" s="58"/>
      <c r="I864" s="21"/>
      <c r="J864" s="22"/>
    </row>
    <row r="865" spans="1:10" ht="13.2" x14ac:dyDescent="0.25">
      <c r="A865" s="17"/>
      <c r="B865" s="17"/>
      <c r="D865" s="18"/>
      <c r="E865" s="18"/>
      <c r="F865" s="18"/>
      <c r="G865" s="18"/>
      <c r="H865" s="58"/>
      <c r="I865" s="21"/>
      <c r="J865" s="22"/>
    </row>
    <row r="866" spans="1:10" ht="13.2" x14ac:dyDescent="0.25">
      <c r="A866" s="17"/>
      <c r="B866" s="17"/>
      <c r="D866" s="18"/>
      <c r="E866" s="18"/>
      <c r="F866" s="18"/>
      <c r="G866" s="18"/>
      <c r="H866" s="58"/>
      <c r="I866" s="21"/>
      <c r="J866" s="22"/>
    </row>
    <row r="867" spans="1:10" ht="13.2" x14ac:dyDescent="0.25">
      <c r="A867" s="17"/>
      <c r="B867" s="17"/>
      <c r="D867" s="18"/>
      <c r="E867" s="18"/>
      <c r="F867" s="18"/>
      <c r="G867" s="18"/>
      <c r="H867" s="58"/>
      <c r="I867" s="21"/>
      <c r="J867" s="22"/>
    </row>
    <row r="868" spans="1:10" ht="13.2" x14ac:dyDescent="0.25">
      <c r="A868" s="17"/>
      <c r="B868" s="17"/>
      <c r="D868" s="18"/>
      <c r="E868" s="18"/>
      <c r="F868" s="18"/>
      <c r="G868" s="18"/>
      <c r="H868" s="58"/>
      <c r="I868" s="21"/>
      <c r="J868" s="22"/>
    </row>
    <row r="869" spans="1:10" ht="13.2" x14ac:dyDescent="0.25">
      <c r="A869" s="17"/>
      <c r="B869" s="17"/>
      <c r="D869" s="18"/>
      <c r="E869" s="18"/>
      <c r="F869" s="18"/>
      <c r="G869" s="18"/>
      <c r="H869" s="58"/>
      <c r="I869" s="21"/>
      <c r="J869" s="22"/>
    </row>
    <row r="870" spans="1:10" ht="13.2" x14ac:dyDescent="0.25">
      <c r="A870" s="17"/>
      <c r="B870" s="17"/>
      <c r="D870" s="18"/>
      <c r="E870" s="18"/>
      <c r="F870" s="18"/>
      <c r="G870" s="18"/>
      <c r="H870" s="58"/>
      <c r="I870" s="21"/>
      <c r="J870" s="22"/>
    </row>
    <row r="871" spans="1:10" ht="13.2" x14ac:dyDescent="0.25">
      <c r="A871" s="17"/>
      <c r="B871" s="17"/>
      <c r="D871" s="18"/>
      <c r="E871" s="18"/>
      <c r="F871" s="18"/>
      <c r="G871" s="18"/>
      <c r="H871" s="58"/>
      <c r="I871" s="21"/>
      <c r="J871" s="22"/>
    </row>
    <row r="872" spans="1:10" ht="13.2" x14ac:dyDescent="0.25">
      <c r="A872" s="17"/>
      <c r="B872" s="17"/>
      <c r="D872" s="18"/>
      <c r="E872" s="18"/>
      <c r="F872" s="18"/>
      <c r="G872" s="18"/>
      <c r="H872" s="58"/>
      <c r="I872" s="21"/>
      <c r="J872" s="22"/>
    </row>
    <row r="873" spans="1:10" ht="13.2" x14ac:dyDescent="0.25">
      <c r="A873" s="17"/>
      <c r="B873" s="17"/>
      <c r="D873" s="18"/>
      <c r="E873" s="18"/>
      <c r="F873" s="18"/>
      <c r="G873" s="18"/>
      <c r="H873" s="58"/>
      <c r="I873" s="21"/>
      <c r="J873" s="22"/>
    </row>
    <row r="874" spans="1:10" ht="13.2" x14ac:dyDescent="0.25">
      <c r="A874" s="17"/>
      <c r="B874" s="17"/>
      <c r="D874" s="18"/>
      <c r="E874" s="18"/>
      <c r="F874" s="18"/>
      <c r="G874" s="18"/>
      <c r="H874" s="58"/>
      <c r="I874" s="21"/>
      <c r="J874" s="22"/>
    </row>
    <row r="875" spans="1:10" ht="13.2" x14ac:dyDescent="0.25">
      <c r="A875" s="17"/>
      <c r="B875" s="17"/>
      <c r="D875" s="18"/>
      <c r="E875" s="18"/>
      <c r="F875" s="18"/>
      <c r="G875" s="18"/>
      <c r="H875" s="58"/>
      <c r="I875" s="21"/>
      <c r="J875" s="22"/>
    </row>
    <row r="876" spans="1:10" ht="13.2" x14ac:dyDescent="0.25">
      <c r="A876" s="17"/>
      <c r="B876" s="17"/>
      <c r="D876" s="18"/>
      <c r="E876" s="18"/>
      <c r="F876" s="18"/>
      <c r="G876" s="18"/>
      <c r="H876" s="58"/>
      <c r="I876" s="21"/>
      <c r="J876" s="22"/>
    </row>
    <row r="877" spans="1:10" ht="13.2" x14ac:dyDescent="0.25">
      <c r="A877" s="17"/>
      <c r="B877" s="17"/>
      <c r="D877" s="18"/>
      <c r="E877" s="18"/>
      <c r="F877" s="18"/>
      <c r="G877" s="18"/>
      <c r="H877" s="58"/>
      <c r="I877" s="21"/>
      <c r="J877" s="22"/>
    </row>
    <row r="878" spans="1:10" ht="13.2" x14ac:dyDescent="0.25">
      <c r="A878" s="17"/>
      <c r="B878" s="17"/>
      <c r="D878" s="18"/>
      <c r="E878" s="18"/>
      <c r="F878" s="18"/>
      <c r="G878" s="18"/>
      <c r="H878" s="58"/>
      <c r="I878" s="21"/>
      <c r="J878" s="22"/>
    </row>
    <row r="879" spans="1:10" ht="13.2" x14ac:dyDescent="0.25">
      <c r="A879" s="17"/>
      <c r="B879" s="17"/>
      <c r="D879" s="18"/>
      <c r="E879" s="18"/>
      <c r="F879" s="18"/>
      <c r="G879" s="18"/>
      <c r="H879" s="58"/>
      <c r="I879" s="21"/>
      <c r="J879" s="22"/>
    </row>
    <row r="880" spans="1:10" ht="13.2" x14ac:dyDescent="0.25">
      <c r="A880" s="17"/>
      <c r="B880" s="17"/>
      <c r="D880" s="18"/>
      <c r="E880" s="18"/>
      <c r="F880" s="18"/>
      <c r="G880" s="18"/>
      <c r="H880" s="58"/>
      <c r="I880" s="21"/>
      <c r="J880" s="22"/>
    </row>
    <row r="881" spans="1:10" ht="13.2" x14ac:dyDescent="0.25">
      <c r="A881" s="17"/>
      <c r="B881" s="17"/>
      <c r="D881" s="18"/>
      <c r="E881" s="18"/>
      <c r="F881" s="18"/>
      <c r="G881" s="18"/>
      <c r="H881" s="58"/>
      <c r="I881" s="21"/>
      <c r="J881" s="22"/>
    </row>
    <row r="882" spans="1:10" ht="13.2" x14ac:dyDescent="0.25">
      <c r="A882" s="17"/>
      <c r="B882" s="17"/>
      <c r="D882" s="18"/>
      <c r="E882" s="18"/>
      <c r="F882" s="18"/>
      <c r="G882" s="18"/>
      <c r="H882" s="58"/>
      <c r="I882" s="21"/>
      <c r="J882" s="22"/>
    </row>
    <row r="883" spans="1:10" ht="13.2" x14ac:dyDescent="0.25">
      <c r="A883" s="17"/>
      <c r="B883" s="17"/>
      <c r="D883" s="18"/>
      <c r="E883" s="18"/>
      <c r="F883" s="18"/>
      <c r="G883" s="18"/>
      <c r="H883" s="58"/>
      <c r="I883" s="21"/>
      <c r="J883" s="22"/>
    </row>
    <row r="884" spans="1:10" ht="13.2" x14ac:dyDescent="0.25">
      <c r="A884" s="17"/>
      <c r="B884" s="17"/>
      <c r="D884" s="18"/>
      <c r="E884" s="18"/>
      <c r="F884" s="18"/>
      <c r="G884" s="18"/>
      <c r="H884" s="58"/>
      <c r="I884" s="21"/>
      <c r="J884" s="22"/>
    </row>
    <row r="885" spans="1:10" ht="13.2" x14ac:dyDescent="0.25">
      <c r="A885" s="17"/>
      <c r="B885" s="17"/>
      <c r="D885" s="18"/>
      <c r="E885" s="18"/>
      <c r="F885" s="18"/>
      <c r="G885" s="18"/>
      <c r="H885" s="58"/>
      <c r="I885" s="21"/>
      <c r="J885" s="22"/>
    </row>
    <row r="886" spans="1:10" ht="13.2" x14ac:dyDescent="0.25">
      <c r="A886" s="17"/>
      <c r="B886" s="17"/>
      <c r="D886" s="18"/>
      <c r="E886" s="18"/>
      <c r="F886" s="18"/>
      <c r="G886" s="18"/>
      <c r="H886" s="58"/>
      <c r="I886" s="21"/>
      <c r="J886" s="22"/>
    </row>
    <row r="887" spans="1:10" ht="13.2" x14ac:dyDescent="0.25">
      <c r="A887" s="17"/>
      <c r="B887" s="17"/>
      <c r="D887" s="18"/>
      <c r="E887" s="18"/>
      <c r="F887" s="18"/>
      <c r="G887" s="18"/>
      <c r="H887" s="58"/>
      <c r="I887" s="21"/>
      <c r="J887" s="22"/>
    </row>
    <row r="888" spans="1:10" ht="13.2" x14ac:dyDescent="0.25">
      <c r="A888" s="17"/>
      <c r="B888" s="17"/>
      <c r="D888" s="18"/>
      <c r="E888" s="18"/>
      <c r="F888" s="18"/>
      <c r="G888" s="18"/>
      <c r="H888" s="58"/>
      <c r="I888" s="21"/>
      <c r="J888" s="22"/>
    </row>
    <row r="889" spans="1:10" ht="13.2" x14ac:dyDescent="0.25">
      <c r="A889" s="17"/>
      <c r="B889" s="17"/>
      <c r="D889" s="18"/>
      <c r="E889" s="18"/>
      <c r="F889" s="18"/>
      <c r="G889" s="18"/>
      <c r="H889" s="58"/>
      <c r="I889" s="21"/>
      <c r="J889" s="22"/>
    </row>
    <row r="890" spans="1:10" ht="13.2" x14ac:dyDescent="0.25">
      <c r="A890" s="17"/>
      <c r="B890" s="17"/>
      <c r="D890" s="18"/>
      <c r="E890" s="18"/>
      <c r="F890" s="18"/>
      <c r="G890" s="18"/>
      <c r="H890" s="58"/>
      <c r="I890" s="21"/>
      <c r="J890" s="22"/>
    </row>
    <row r="891" spans="1:10" ht="13.2" x14ac:dyDescent="0.25">
      <c r="A891" s="17"/>
      <c r="B891" s="17"/>
      <c r="D891" s="18"/>
      <c r="E891" s="18"/>
      <c r="F891" s="18"/>
      <c r="G891" s="18"/>
      <c r="H891" s="58"/>
      <c r="I891" s="21"/>
      <c r="J891" s="22"/>
    </row>
    <row r="892" spans="1:10" ht="13.2" x14ac:dyDescent="0.25">
      <c r="A892" s="17"/>
      <c r="B892" s="17"/>
      <c r="D892" s="18"/>
      <c r="E892" s="18"/>
      <c r="F892" s="18"/>
      <c r="G892" s="18"/>
      <c r="H892" s="58"/>
      <c r="I892" s="21"/>
      <c r="J892" s="22"/>
    </row>
    <row r="893" spans="1:10" ht="13.2" x14ac:dyDescent="0.25">
      <c r="A893" s="17"/>
      <c r="B893" s="17"/>
      <c r="D893" s="18"/>
      <c r="E893" s="18"/>
      <c r="F893" s="18"/>
      <c r="G893" s="18"/>
      <c r="H893" s="58"/>
      <c r="I893" s="21"/>
      <c r="J893" s="22"/>
    </row>
    <row r="894" spans="1:10" ht="13.2" x14ac:dyDescent="0.25">
      <c r="A894" s="17"/>
      <c r="B894" s="17"/>
      <c r="D894" s="18"/>
      <c r="E894" s="18"/>
      <c r="F894" s="18"/>
      <c r="G894" s="18"/>
      <c r="H894" s="58"/>
      <c r="I894" s="21"/>
      <c r="J894" s="22"/>
    </row>
    <row r="895" spans="1:10" ht="13.2" x14ac:dyDescent="0.25">
      <c r="A895" s="17"/>
      <c r="B895" s="17"/>
      <c r="D895" s="18"/>
      <c r="E895" s="18"/>
      <c r="F895" s="18"/>
      <c r="G895" s="18"/>
      <c r="H895" s="58"/>
      <c r="I895" s="21"/>
      <c r="J895" s="22"/>
    </row>
    <row r="896" spans="1:10" ht="13.2" x14ac:dyDescent="0.25">
      <c r="A896" s="17"/>
      <c r="B896" s="17"/>
      <c r="D896" s="18"/>
      <c r="E896" s="18"/>
      <c r="F896" s="18"/>
      <c r="G896" s="18"/>
      <c r="H896" s="58"/>
      <c r="I896" s="21"/>
      <c r="J896" s="22"/>
    </row>
    <row r="897" spans="1:10" ht="13.2" x14ac:dyDescent="0.25">
      <c r="A897" s="17"/>
      <c r="B897" s="17"/>
      <c r="D897" s="18"/>
      <c r="E897" s="18"/>
      <c r="F897" s="18"/>
      <c r="G897" s="18"/>
      <c r="H897" s="58"/>
      <c r="I897" s="21"/>
      <c r="J897" s="22"/>
    </row>
    <row r="898" spans="1:10" ht="13.2" x14ac:dyDescent="0.25">
      <c r="A898" s="17"/>
      <c r="B898" s="17"/>
      <c r="D898" s="18"/>
      <c r="E898" s="18"/>
      <c r="F898" s="18"/>
      <c r="G898" s="18"/>
      <c r="H898" s="58"/>
      <c r="I898" s="21"/>
      <c r="J898" s="22"/>
    </row>
    <row r="899" spans="1:10" ht="13.2" x14ac:dyDescent="0.25">
      <c r="A899" s="17"/>
      <c r="B899" s="17"/>
      <c r="D899" s="18"/>
      <c r="E899" s="18"/>
      <c r="F899" s="18"/>
      <c r="G899" s="18"/>
      <c r="H899" s="58"/>
      <c r="I899" s="21"/>
      <c r="J899" s="22"/>
    </row>
    <row r="900" spans="1:10" ht="13.2" x14ac:dyDescent="0.25">
      <c r="A900" s="17"/>
      <c r="B900" s="17"/>
      <c r="D900" s="18"/>
      <c r="E900" s="18"/>
      <c r="F900" s="18"/>
      <c r="G900" s="18"/>
      <c r="H900" s="58"/>
      <c r="I900" s="21"/>
      <c r="J900" s="22"/>
    </row>
    <row r="901" spans="1:10" ht="13.2" x14ac:dyDescent="0.25">
      <c r="A901" s="17"/>
      <c r="B901" s="17"/>
      <c r="D901" s="18"/>
      <c r="E901" s="18"/>
      <c r="F901" s="18"/>
      <c r="G901" s="18"/>
      <c r="H901" s="58"/>
      <c r="I901" s="21"/>
      <c r="J901" s="22"/>
    </row>
    <row r="902" spans="1:10" ht="13.2" x14ac:dyDescent="0.25">
      <c r="A902" s="17"/>
      <c r="B902" s="17"/>
      <c r="D902" s="18"/>
      <c r="E902" s="18"/>
      <c r="F902" s="18"/>
      <c r="G902" s="18"/>
      <c r="H902" s="58"/>
      <c r="I902" s="21"/>
      <c r="J902" s="22"/>
    </row>
    <row r="903" spans="1:10" ht="13.2" x14ac:dyDescent="0.25">
      <c r="A903" s="17"/>
      <c r="B903" s="17"/>
      <c r="D903" s="18"/>
      <c r="E903" s="18"/>
      <c r="F903" s="18"/>
      <c r="G903" s="18"/>
      <c r="H903" s="58"/>
      <c r="I903" s="21"/>
      <c r="J903" s="22"/>
    </row>
    <row r="904" spans="1:10" ht="13.2" x14ac:dyDescent="0.25">
      <c r="A904" s="17"/>
      <c r="B904" s="17"/>
      <c r="D904" s="18"/>
      <c r="E904" s="18"/>
      <c r="F904" s="18"/>
      <c r="G904" s="18"/>
      <c r="H904" s="58"/>
      <c r="I904" s="21"/>
      <c r="J904" s="22"/>
    </row>
    <row r="905" spans="1:10" ht="13.2" x14ac:dyDescent="0.25">
      <c r="A905" s="17"/>
      <c r="B905" s="17"/>
      <c r="D905" s="18"/>
      <c r="E905" s="18"/>
      <c r="F905" s="18"/>
      <c r="G905" s="18"/>
      <c r="H905" s="58"/>
      <c r="I905" s="21"/>
      <c r="J905" s="22"/>
    </row>
    <row r="906" spans="1:10" ht="13.2" x14ac:dyDescent="0.25">
      <c r="A906" s="17"/>
      <c r="B906" s="17"/>
      <c r="D906" s="18"/>
      <c r="E906" s="18"/>
      <c r="F906" s="18"/>
      <c r="G906" s="18"/>
      <c r="H906" s="58"/>
      <c r="I906" s="21"/>
      <c r="J906" s="22"/>
    </row>
    <row r="907" spans="1:10" ht="13.2" x14ac:dyDescent="0.25">
      <c r="A907" s="17"/>
      <c r="B907" s="17"/>
      <c r="D907" s="18"/>
      <c r="E907" s="18"/>
      <c r="F907" s="18"/>
      <c r="G907" s="18"/>
      <c r="H907" s="58"/>
      <c r="I907" s="21"/>
      <c r="J907" s="22"/>
    </row>
    <row r="908" spans="1:10" ht="13.2" x14ac:dyDescent="0.25">
      <c r="A908" s="17"/>
      <c r="B908" s="17"/>
      <c r="D908" s="18"/>
      <c r="E908" s="18"/>
      <c r="F908" s="18"/>
      <c r="G908" s="18"/>
      <c r="H908" s="58"/>
      <c r="I908" s="21"/>
      <c r="J908" s="22"/>
    </row>
    <row r="909" spans="1:10" ht="13.2" x14ac:dyDescent="0.25">
      <c r="A909" s="17"/>
      <c r="B909" s="17"/>
      <c r="D909" s="18"/>
      <c r="E909" s="18"/>
      <c r="F909" s="18"/>
      <c r="G909" s="18"/>
      <c r="H909" s="58"/>
      <c r="I909" s="21"/>
      <c r="J909" s="22"/>
    </row>
    <row r="910" spans="1:10" ht="13.2" x14ac:dyDescent="0.25">
      <c r="A910" s="17"/>
      <c r="B910" s="17"/>
      <c r="D910" s="18"/>
      <c r="E910" s="18"/>
      <c r="F910" s="18"/>
      <c r="G910" s="18"/>
      <c r="H910" s="58"/>
      <c r="I910" s="21"/>
      <c r="J910" s="22"/>
    </row>
    <row r="911" spans="1:10" ht="13.2" x14ac:dyDescent="0.25">
      <c r="A911" s="17"/>
      <c r="B911" s="17"/>
      <c r="D911" s="18"/>
      <c r="E911" s="18"/>
      <c r="F911" s="18"/>
      <c r="G911" s="18"/>
      <c r="H911" s="58"/>
      <c r="I911" s="21"/>
      <c r="J911" s="22"/>
    </row>
    <row r="912" spans="1:10" ht="13.2" x14ac:dyDescent="0.25">
      <c r="A912" s="17"/>
      <c r="B912" s="17"/>
      <c r="D912" s="18"/>
      <c r="E912" s="18"/>
      <c r="F912" s="18"/>
      <c r="G912" s="18"/>
      <c r="H912" s="58"/>
      <c r="I912" s="21"/>
      <c r="J912" s="22"/>
    </row>
    <row r="913" spans="1:10" ht="13.2" x14ac:dyDescent="0.25">
      <c r="A913" s="17"/>
      <c r="B913" s="17"/>
      <c r="D913" s="18"/>
      <c r="E913" s="18"/>
      <c r="F913" s="18"/>
      <c r="G913" s="18"/>
      <c r="H913" s="58"/>
      <c r="I913" s="21"/>
      <c r="J913" s="22"/>
    </row>
    <row r="914" spans="1:10" ht="13.2" x14ac:dyDescent="0.25">
      <c r="A914" s="17"/>
      <c r="B914" s="17"/>
      <c r="D914" s="18"/>
      <c r="E914" s="18"/>
      <c r="F914" s="18"/>
      <c r="G914" s="18"/>
      <c r="H914" s="58"/>
      <c r="I914" s="21"/>
      <c r="J914" s="22"/>
    </row>
    <row r="915" spans="1:10" ht="13.2" x14ac:dyDescent="0.25">
      <c r="A915" s="17"/>
      <c r="B915" s="17"/>
      <c r="D915" s="18"/>
      <c r="E915" s="18"/>
      <c r="F915" s="18"/>
      <c r="G915" s="18"/>
      <c r="H915" s="58"/>
      <c r="I915" s="21"/>
      <c r="J915" s="22"/>
    </row>
    <row r="916" spans="1:10" ht="13.2" x14ac:dyDescent="0.25">
      <c r="A916" s="17"/>
      <c r="B916" s="17"/>
      <c r="D916" s="18"/>
      <c r="E916" s="18"/>
      <c r="F916" s="18"/>
      <c r="G916" s="18"/>
      <c r="H916" s="58"/>
      <c r="I916" s="21"/>
      <c r="J916" s="22"/>
    </row>
    <row r="917" spans="1:10" ht="13.2" x14ac:dyDescent="0.25">
      <c r="A917" s="17"/>
      <c r="B917" s="17"/>
      <c r="D917" s="18"/>
      <c r="E917" s="18"/>
      <c r="F917" s="18"/>
      <c r="G917" s="18"/>
      <c r="H917" s="58"/>
      <c r="I917" s="21"/>
      <c r="J917" s="22"/>
    </row>
    <row r="918" spans="1:10" ht="13.2" x14ac:dyDescent="0.25">
      <c r="A918" s="17"/>
      <c r="B918" s="17"/>
      <c r="D918" s="18"/>
      <c r="E918" s="18"/>
      <c r="F918" s="18"/>
      <c r="G918" s="18"/>
      <c r="H918" s="58"/>
      <c r="I918" s="21"/>
      <c r="J918" s="22"/>
    </row>
    <row r="919" spans="1:10" ht="13.2" x14ac:dyDescent="0.25">
      <c r="A919" s="17"/>
      <c r="B919" s="17"/>
      <c r="D919" s="18"/>
      <c r="E919" s="18"/>
      <c r="F919" s="18"/>
      <c r="G919" s="18"/>
      <c r="H919" s="58"/>
      <c r="I919" s="21"/>
      <c r="J919" s="22"/>
    </row>
    <row r="920" spans="1:10" ht="13.2" x14ac:dyDescent="0.25">
      <c r="A920" s="17"/>
      <c r="B920" s="17"/>
      <c r="D920" s="18"/>
      <c r="E920" s="18"/>
      <c r="F920" s="18"/>
      <c r="G920" s="18"/>
      <c r="H920" s="58"/>
      <c r="I920" s="21"/>
      <c r="J920" s="22"/>
    </row>
    <row r="921" spans="1:10" ht="13.2" x14ac:dyDescent="0.25">
      <c r="A921" s="17"/>
      <c r="B921" s="17"/>
      <c r="D921" s="18"/>
      <c r="E921" s="18"/>
      <c r="F921" s="18"/>
      <c r="G921" s="18"/>
      <c r="H921" s="58"/>
      <c r="I921" s="21"/>
      <c r="J921" s="22"/>
    </row>
    <row r="922" spans="1:10" ht="13.2" x14ac:dyDescent="0.25">
      <c r="A922" s="17"/>
      <c r="B922" s="17"/>
      <c r="D922" s="18"/>
      <c r="E922" s="18"/>
      <c r="F922" s="18"/>
      <c r="G922" s="18"/>
      <c r="H922" s="58"/>
      <c r="I922" s="21"/>
      <c r="J922" s="22"/>
    </row>
    <row r="923" spans="1:10" ht="13.2" x14ac:dyDescent="0.25">
      <c r="A923" s="17"/>
      <c r="B923" s="17"/>
      <c r="D923" s="18"/>
      <c r="E923" s="18"/>
      <c r="F923" s="18"/>
      <c r="G923" s="18"/>
      <c r="H923" s="58"/>
      <c r="I923" s="21"/>
      <c r="J923" s="22"/>
    </row>
    <row r="924" spans="1:10" ht="13.2" x14ac:dyDescent="0.25">
      <c r="A924" s="17"/>
      <c r="B924" s="17"/>
      <c r="D924" s="18"/>
      <c r="E924" s="18"/>
      <c r="F924" s="18"/>
      <c r="G924" s="18"/>
      <c r="H924" s="58"/>
      <c r="I924" s="21"/>
      <c r="J924" s="22"/>
    </row>
    <row r="925" spans="1:10" ht="13.2" x14ac:dyDescent="0.25">
      <c r="A925" s="17"/>
      <c r="B925" s="17"/>
      <c r="D925" s="18"/>
      <c r="E925" s="18"/>
      <c r="F925" s="18"/>
      <c r="G925" s="18"/>
      <c r="H925" s="58"/>
      <c r="I925" s="21"/>
      <c r="J925" s="22"/>
    </row>
    <row r="926" spans="1:10" ht="13.2" x14ac:dyDescent="0.25">
      <c r="A926" s="17"/>
      <c r="B926" s="17"/>
      <c r="D926" s="18"/>
      <c r="E926" s="18"/>
      <c r="F926" s="18"/>
      <c r="G926" s="18"/>
      <c r="H926" s="58"/>
      <c r="I926" s="21"/>
      <c r="J926" s="22"/>
    </row>
    <row r="927" spans="1:10" ht="13.2" x14ac:dyDescent="0.25">
      <c r="A927" s="17"/>
      <c r="B927" s="17"/>
      <c r="D927" s="18"/>
      <c r="E927" s="18"/>
      <c r="F927" s="18"/>
      <c r="G927" s="18"/>
      <c r="H927" s="58"/>
      <c r="I927" s="21"/>
      <c r="J927" s="22"/>
    </row>
    <row r="928" spans="1:10" ht="13.2" x14ac:dyDescent="0.25">
      <c r="A928" s="17"/>
      <c r="B928" s="17"/>
      <c r="D928" s="18"/>
      <c r="E928" s="18"/>
      <c r="F928" s="18"/>
      <c r="G928" s="18"/>
      <c r="H928" s="58"/>
      <c r="I928" s="21"/>
      <c r="J928" s="22"/>
    </row>
    <row r="929" spans="1:10" ht="13.2" x14ac:dyDescent="0.25">
      <c r="A929" s="17"/>
      <c r="B929" s="17"/>
      <c r="D929" s="18"/>
      <c r="E929" s="18"/>
      <c r="F929" s="18"/>
      <c r="G929" s="18"/>
      <c r="H929" s="58"/>
      <c r="I929" s="21"/>
      <c r="J929" s="22"/>
    </row>
    <row r="930" spans="1:10" ht="13.2" x14ac:dyDescent="0.25">
      <c r="A930" s="17"/>
      <c r="B930" s="17"/>
      <c r="D930" s="18"/>
      <c r="E930" s="18"/>
      <c r="F930" s="18"/>
      <c r="G930" s="18"/>
      <c r="H930" s="58"/>
      <c r="I930" s="21"/>
      <c r="J930" s="22"/>
    </row>
    <row r="931" spans="1:10" ht="13.2" x14ac:dyDescent="0.25">
      <c r="A931" s="17"/>
      <c r="B931" s="17"/>
      <c r="D931" s="18"/>
      <c r="E931" s="18"/>
      <c r="F931" s="18"/>
      <c r="G931" s="18"/>
      <c r="H931" s="58"/>
      <c r="I931" s="21"/>
      <c r="J931" s="22"/>
    </row>
    <row r="932" spans="1:10" ht="13.2" x14ac:dyDescent="0.25">
      <c r="A932" s="17"/>
      <c r="B932" s="17"/>
      <c r="D932" s="18"/>
      <c r="E932" s="18"/>
      <c r="F932" s="18"/>
      <c r="G932" s="18"/>
      <c r="H932" s="58"/>
      <c r="I932" s="21"/>
      <c r="J932" s="22"/>
    </row>
    <row r="933" spans="1:10" ht="13.2" x14ac:dyDescent="0.25">
      <c r="A933" s="17"/>
      <c r="B933" s="17"/>
      <c r="D933" s="18"/>
      <c r="E933" s="18"/>
      <c r="F933" s="18"/>
      <c r="G933" s="18"/>
      <c r="H933" s="58"/>
      <c r="I933" s="21"/>
      <c r="J933" s="22"/>
    </row>
    <row r="934" spans="1:10" ht="13.2" x14ac:dyDescent="0.25">
      <c r="A934" s="17"/>
      <c r="B934" s="17"/>
      <c r="D934" s="18"/>
      <c r="E934" s="18"/>
      <c r="F934" s="18"/>
      <c r="G934" s="18"/>
      <c r="H934" s="58"/>
      <c r="I934" s="21"/>
      <c r="J934" s="22"/>
    </row>
    <row r="935" spans="1:10" ht="13.2" x14ac:dyDescent="0.25">
      <c r="A935" s="17"/>
      <c r="B935" s="17"/>
      <c r="D935" s="18"/>
      <c r="E935" s="18"/>
      <c r="F935" s="18"/>
      <c r="G935" s="18"/>
      <c r="H935" s="58"/>
      <c r="I935" s="21"/>
      <c r="J935" s="22"/>
    </row>
    <row r="936" spans="1:10" ht="13.2" x14ac:dyDescent="0.25">
      <c r="A936" s="17"/>
      <c r="B936" s="17"/>
      <c r="D936" s="18"/>
      <c r="E936" s="18"/>
      <c r="F936" s="18"/>
      <c r="G936" s="18"/>
      <c r="H936" s="58"/>
      <c r="I936" s="21"/>
      <c r="J936" s="22"/>
    </row>
    <row r="937" spans="1:10" ht="13.2" x14ac:dyDescent="0.25">
      <c r="A937" s="17"/>
      <c r="B937" s="17"/>
      <c r="D937" s="18"/>
      <c r="E937" s="18"/>
      <c r="F937" s="18"/>
      <c r="G937" s="18"/>
      <c r="H937" s="58"/>
      <c r="I937" s="21"/>
      <c r="J937" s="22"/>
    </row>
    <row r="938" spans="1:10" ht="13.2" x14ac:dyDescent="0.25">
      <c r="A938" s="17"/>
      <c r="B938" s="17"/>
      <c r="D938" s="18"/>
      <c r="E938" s="18"/>
      <c r="F938" s="18"/>
      <c r="G938" s="18"/>
      <c r="H938" s="58"/>
      <c r="I938" s="21"/>
      <c r="J938" s="22"/>
    </row>
    <row r="939" spans="1:10" ht="13.2" x14ac:dyDescent="0.25">
      <c r="A939" s="17"/>
      <c r="B939" s="17"/>
      <c r="D939" s="18"/>
      <c r="E939" s="18"/>
      <c r="F939" s="18"/>
      <c r="G939" s="18"/>
      <c r="H939" s="58"/>
      <c r="I939" s="21"/>
      <c r="J939" s="22"/>
    </row>
    <row r="940" spans="1:10" ht="13.2" x14ac:dyDescent="0.25">
      <c r="A940" s="17"/>
      <c r="B940" s="17"/>
      <c r="D940" s="18"/>
      <c r="E940" s="18"/>
      <c r="F940" s="18"/>
      <c r="G940" s="18"/>
      <c r="H940" s="58"/>
      <c r="I940" s="21"/>
      <c r="J940" s="22"/>
    </row>
    <row r="941" spans="1:10" ht="13.2" x14ac:dyDescent="0.25">
      <c r="A941" s="17"/>
      <c r="B941" s="17"/>
      <c r="D941" s="18"/>
      <c r="E941" s="18"/>
      <c r="F941" s="18"/>
      <c r="G941" s="18"/>
      <c r="H941" s="58"/>
      <c r="I941" s="21"/>
      <c r="J941" s="22"/>
    </row>
    <row r="942" spans="1:10" ht="13.2" x14ac:dyDescent="0.25">
      <c r="A942" s="17"/>
      <c r="B942" s="17"/>
      <c r="D942" s="18"/>
      <c r="E942" s="18"/>
      <c r="F942" s="18"/>
      <c r="G942" s="18"/>
      <c r="H942" s="58"/>
      <c r="I942" s="21"/>
      <c r="J942" s="22"/>
    </row>
    <row r="943" spans="1:10" ht="13.2" x14ac:dyDescent="0.25">
      <c r="A943" s="17"/>
      <c r="B943" s="17"/>
      <c r="D943" s="18"/>
      <c r="E943" s="18"/>
      <c r="F943" s="18"/>
      <c r="G943" s="18"/>
      <c r="H943" s="58"/>
      <c r="I943" s="21"/>
      <c r="J943" s="22"/>
    </row>
    <row r="944" spans="1:10" ht="13.2" x14ac:dyDescent="0.25">
      <c r="A944" s="17"/>
      <c r="B944" s="17"/>
      <c r="D944" s="18"/>
      <c r="E944" s="18"/>
      <c r="F944" s="18"/>
      <c r="G944" s="18"/>
      <c r="H944" s="58"/>
      <c r="I944" s="21"/>
      <c r="J944" s="22"/>
    </row>
    <row r="945" spans="1:10" ht="13.2" x14ac:dyDescent="0.25">
      <c r="A945" s="17"/>
      <c r="B945" s="17"/>
      <c r="D945" s="18"/>
      <c r="E945" s="18"/>
      <c r="F945" s="18"/>
      <c r="G945" s="18"/>
      <c r="H945" s="58"/>
      <c r="I945" s="21"/>
      <c r="J945" s="22"/>
    </row>
    <row r="946" spans="1:10" ht="13.2" x14ac:dyDescent="0.25">
      <c r="A946" s="17"/>
      <c r="B946" s="17"/>
      <c r="D946" s="18"/>
      <c r="E946" s="18"/>
      <c r="F946" s="18"/>
      <c r="G946" s="18"/>
      <c r="H946" s="58"/>
      <c r="I946" s="21"/>
      <c r="J946" s="22"/>
    </row>
    <row r="947" spans="1:10" ht="13.2" x14ac:dyDescent="0.25">
      <c r="A947" s="17"/>
      <c r="B947" s="17"/>
      <c r="D947" s="18"/>
      <c r="E947" s="18"/>
      <c r="F947" s="18"/>
      <c r="G947" s="18"/>
      <c r="H947" s="58"/>
      <c r="I947" s="21"/>
      <c r="J947" s="22"/>
    </row>
    <row r="948" spans="1:10" ht="13.2" x14ac:dyDescent="0.25">
      <c r="A948" s="17"/>
      <c r="B948" s="17"/>
      <c r="D948" s="18"/>
      <c r="E948" s="18"/>
      <c r="F948" s="18"/>
      <c r="G948" s="18"/>
      <c r="H948" s="58"/>
      <c r="I948" s="21"/>
      <c r="J948" s="22"/>
    </row>
    <row r="949" spans="1:10" ht="13.2" x14ac:dyDescent="0.25">
      <c r="A949" s="17"/>
      <c r="B949" s="17"/>
      <c r="D949" s="18"/>
      <c r="E949" s="18"/>
      <c r="F949" s="18"/>
      <c r="G949" s="18"/>
      <c r="H949" s="58"/>
      <c r="I949" s="21"/>
      <c r="J949" s="22"/>
    </row>
    <row r="950" spans="1:10" ht="13.2" x14ac:dyDescent="0.25">
      <c r="A950" s="17"/>
      <c r="B950" s="17"/>
      <c r="D950" s="18"/>
      <c r="E950" s="18"/>
      <c r="F950" s="18"/>
      <c r="G950" s="18"/>
      <c r="H950" s="58"/>
      <c r="I950" s="21"/>
      <c r="J950" s="22"/>
    </row>
    <row r="951" spans="1:10" ht="13.2" x14ac:dyDescent="0.25">
      <c r="A951" s="17"/>
      <c r="B951" s="17"/>
      <c r="D951" s="18"/>
      <c r="E951" s="18"/>
      <c r="F951" s="18"/>
      <c r="G951" s="18"/>
      <c r="H951" s="58"/>
      <c r="I951" s="21"/>
      <c r="J951" s="22"/>
    </row>
    <row r="952" spans="1:10" ht="13.2" x14ac:dyDescent="0.25">
      <c r="A952" s="17"/>
      <c r="B952" s="17"/>
      <c r="D952" s="18"/>
      <c r="E952" s="18"/>
      <c r="F952" s="18"/>
      <c r="G952" s="18"/>
      <c r="H952" s="58"/>
      <c r="I952" s="21"/>
      <c r="J952" s="22"/>
    </row>
    <row r="953" spans="1:10" ht="13.2" x14ac:dyDescent="0.25">
      <c r="A953" s="17"/>
      <c r="B953" s="17"/>
      <c r="D953" s="18"/>
      <c r="E953" s="18"/>
      <c r="F953" s="18"/>
      <c r="G953" s="18"/>
      <c r="H953" s="58"/>
      <c r="I953" s="21"/>
      <c r="J953" s="22"/>
    </row>
    <row r="954" spans="1:10" ht="13.2" x14ac:dyDescent="0.25">
      <c r="A954" s="17"/>
      <c r="B954" s="17"/>
      <c r="D954" s="18"/>
      <c r="E954" s="18"/>
      <c r="F954" s="18"/>
      <c r="G954" s="18"/>
      <c r="H954" s="58"/>
      <c r="I954" s="21"/>
      <c r="J954" s="22"/>
    </row>
    <row r="955" spans="1:10" ht="13.2" x14ac:dyDescent="0.25">
      <c r="A955" s="17"/>
      <c r="B955" s="17"/>
      <c r="D955" s="18"/>
      <c r="E955" s="18"/>
      <c r="F955" s="18"/>
      <c r="G955" s="18"/>
      <c r="H955" s="58"/>
      <c r="I955" s="21"/>
      <c r="J955" s="22"/>
    </row>
    <row r="956" spans="1:10" ht="13.2" x14ac:dyDescent="0.25">
      <c r="A956" s="17"/>
      <c r="B956" s="17"/>
      <c r="D956" s="18"/>
      <c r="E956" s="18"/>
      <c r="F956" s="18"/>
      <c r="G956" s="18"/>
      <c r="H956" s="58"/>
      <c r="I956" s="21"/>
      <c r="J956" s="22"/>
    </row>
    <row r="957" spans="1:10" ht="13.2" x14ac:dyDescent="0.25">
      <c r="A957" s="17"/>
      <c r="B957" s="17"/>
      <c r="D957" s="18"/>
      <c r="E957" s="18"/>
      <c r="F957" s="18"/>
      <c r="G957" s="18"/>
      <c r="H957" s="58"/>
      <c r="I957" s="21"/>
      <c r="J957" s="22"/>
    </row>
    <row r="958" spans="1:10" ht="13.2" x14ac:dyDescent="0.25">
      <c r="A958" s="17"/>
      <c r="B958" s="17"/>
      <c r="D958" s="18"/>
      <c r="E958" s="18"/>
      <c r="F958" s="18"/>
      <c r="G958" s="18"/>
      <c r="H958" s="58"/>
      <c r="I958" s="21"/>
      <c r="J958" s="22"/>
    </row>
    <row r="959" spans="1:10" ht="13.2" x14ac:dyDescent="0.25">
      <c r="A959" s="17"/>
      <c r="B959" s="17"/>
      <c r="D959" s="18"/>
      <c r="E959" s="18"/>
      <c r="F959" s="18"/>
      <c r="G959" s="18"/>
      <c r="H959" s="58"/>
      <c r="I959" s="21"/>
      <c r="J959" s="22"/>
    </row>
    <row r="960" spans="1:10" ht="13.2" x14ac:dyDescent="0.25">
      <c r="A960" s="17"/>
      <c r="B960" s="17"/>
      <c r="D960" s="18"/>
      <c r="E960" s="18"/>
      <c r="F960" s="18"/>
      <c r="G960" s="18"/>
      <c r="H960" s="58"/>
      <c r="I960" s="21"/>
      <c r="J960" s="22"/>
    </row>
    <row r="961" spans="1:10" ht="13.2" x14ac:dyDescent="0.25">
      <c r="A961" s="17"/>
      <c r="B961" s="17"/>
      <c r="D961" s="18"/>
      <c r="E961" s="18"/>
      <c r="F961" s="18"/>
      <c r="G961" s="18"/>
      <c r="H961" s="58"/>
      <c r="I961" s="21"/>
      <c r="J961" s="22"/>
    </row>
    <row r="962" spans="1:10" ht="13.2" x14ac:dyDescent="0.25">
      <c r="A962" s="17"/>
      <c r="B962" s="17"/>
      <c r="D962" s="18"/>
      <c r="E962" s="18"/>
      <c r="F962" s="18"/>
      <c r="G962" s="18"/>
      <c r="H962" s="58"/>
      <c r="I962" s="21"/>
      <c r="J962" s="22"/>
    </row>
    <row r="963" spans="1:10" ht="13.2" x14ac:dyDescent="0.25">
      <c r="A963" s="17"/>
      <c r="B963" s="17"/>
      <c r="D963" s="18"/>
      <c r="E963" s="18"/>
      <c r="F963" s="18"/>
      <c r="G963" s="18"/>
      <c r="H963" s="58"/>
      <c r="I963" s="21"/>
      <c r="J963" s="22"/>
    </row>
    <row r="964" spans="1:10" ht="13.2" x14ac:dyDescent="0.25">
      <c r="A964" s="17"/>
      <c r="B964" s="17"/>
      <c r="D964" s="18"/>
      <c r="E964" s="18"/>
      <c r="F964" s="18"/>
      <c r="G964" s="18"/>
      <c r="H964" s="58"/>
      <c r="I964" s="21"/>
      <c r="J964" s="22"/>
    </row>
    <row r="965" spans="1:10" ht="13.2" x14ac:dyDescent="0.25">
      <c r="A965" s="17"/>
      <c r="B965" s="17"/>
      <c r="D965" s="18"/>
      <c r="E965" s="18"/>
      <c r="F965" s="18"/>
      <c r="G965" s="18"/>
      <c r="H965" s="58"/>
      <c r="I965" s="21"/>
      <c r="J965" s="22"/>
    </row>
    <row r="966" spans="1:10" ht="13.2" x14ac:dyDescent="0.25">
      <c r="A966" s="17"/>
      <c r="B966" s="17"/>
      <c r="D966" s="18"/>
      <c r="E966" s="18"/>
      <c r="F966" s="18"/>
      <c r="G966" s="18"/>
      <c r="H966" s="58"/>
      <c r="I966" s="21"/>
      <c r="J966" s="22"/>
    </row>
    <row r="967" spans="1:10" ht="13.2" x14ac:dyDescent="0.25">
      <c r="A967" s="17"/>
      <c r="B967" s="17"/>
      <c r="D967" s="18"/>
      <c r="E967" s="18"/>
      <c r="F967" s="18"/>
      <c r="G967" s="18"/>
      <c r="H967" s="58"/>
      <c r="I967" s="21"/>
      <c r="J967" s="22"/>
    </row>
    <row r="968" spans="1:10" ht="13.2" x14ac:dyDescent="0.25">
      <c r="A968" s="17"/>
      <c r="B968" s="17"/>
      <c r="D968" s="18"/>
      <c r="E968" s="18"/>
      <c r="F968" s="18"/>
      <c r="G968" s="18"/>
      <c r="H968" s="58"/>
      <c r="I968" s="21"/>
      <c r="J968" s="22"/>
    </row>
    <row r="969" spans="1:10" ht="13.2" x14ac:dyDescent="0.25">
      <c r="A969" s="17"/>
      <c r="B969" s="17"/>
      <c r="D969" s="18"/>
      <c r="E969" s="18"/>
      <c r="F969" s="18"/>
      <c r="G969" s="18"/>
      <c r="H969" s="58"/>
      <c r="I969" s="21"/>
      <c r="J969" s="22"/>
    </row>
    <row r="970" spans="1:10" ht="13.2" x14ac:dyDescent="0.25">
      <c r="A970" s="17"/>
      <c r="B970" s="17"/>
      <c r="D970" s="18"/>
      <c r="E970" s="18"/>
      <c r="F970" s="18"/>
      <c r="G970" s="18"/>
      <c r="H970" s="58"/>
      <c r="I970" s="21"/>
      <c r="J970" s="22"/>
    </row>
    <row r="971" spans="1:10" ht="13.2" x14ac:dyDescent="0.25">
      <c r="A971" s="17"/>
      <c r="B971" s="17"/>
      <c r="D971" s="18"/>
      <c r="E971" s="18"/>
      <c r="F971" s="18"/>
      <c r="G971" s="18"/>
      <c r="H971" s="58"/>
      <c r="I971" s="21"/>
      <c r="J971" s="22"/>
    </row>
    <row r="972" spans="1:10" ht="13.2" x14ac:dyDescent="0.25">
      <c r="A972" s="17"/>
      <c r="B972" s="17"/>
      <c r="D972" s="18"/>
      <c r="E972" s="18"/>
      <c r="F972" s="18"/>
      <c r="G972" s="18"/>
      <c r="H972" s="58"/>
      <c r="I972" s="21"/>
      <c r="J972" s="22"/>
    </row>
    <row r="973" spans="1:10" ht="13.2" x14ac:dyDescent="0.25">
      <c r="A973" s="17"/>
      <c r="B973" s="17"/>
      <c r="D973" s="18"/>
      <c r="E973" s="18"/>
      <c r="F973" s="18"/>
      <c r="G973" s="18"/>
      <c r="H973" s="58"/>
      <c r="I973" s="21"/>
      <c r="J973" s="22"/>
    </row>
    <row r="974" spans="1:10" ht="13.2" x14ac:dyDescent="0.25">
      <c r="A974" s="17"/>
      <c r="B974" s="17"/>
      <c r="D974" s="18"/>
      <c r="E974" s="18"/>
      <c r="F974" s="18"/>
      <c r="G974" s="18"/>
      <c r="H974" s="58"/>
      <c r="I974" s="21"/>
      <c r="J974" s="22"/>
    </row>
    <row r="975" spans="1:10" ht="13.2" x14ac:dyDescent="0.25">
      <c r="A975" s="17"/>
      <c r="B975" s="17"/>
      <c r="D975" s="18"/>
      <c r="E975" s="18"/>
      <c r="F975" s="18"/>
      <c r="G975" s="18"/>
      <c r="H975" s="58"/>
      <c r="I975" s="21"/>
      <c r="J975" s="22"/>
    </row>
    <row r="976" spans="1:10" ht="13.2" x14ac:dyDescent="0.25">
      <c r="A976" s="17"/>
      <c r="B976" s="17"/>
      <c r="D976" s="18"/>
      <c r="E976" s="18"/>
      <c r="F976" s="18"/>
      <c r="G976" s="18"/>
      <c r="H976" s="58"/>
      <c r="I976" s="21"/>
      <c r="J976" s="22"/>
    </row>
    <row r="977" spans="1:10" ht="13.2" x14ac:dyDescent="0.25">
      <c r="A977" s="17"/>
      <c r="B977" s="17"/>
      <c r="D977" s="18"/>
      <c r="E977" s="18"/>
      <c r="F977" s="18"/>
      <c r="G977" s="18"/>
      <c r="H977" s="58"/>
      <c r="I977" s="21"/>
      <c r="J977" s="22"/>
    </row>
    <row r="978" spans="1:10" ht="13.2" x14ac:dyDescent="0.25">
      <c r="A978" s="17"/>
      <c r="B978" s="17"/>
      <c r="D978" s="18"/>
      <c r="E978" s="18"/>
      <c r="F978" s="18"/>
      <c r="G978" s="18"/>
      <c r="H978" s="58"/>
      <c r="I978" s="21"/>
      <c r="J978" s="22"/>
    </row>
    <row r="979" spans="1:10" ht="13.2" x14ac:dyDescent="0.25">
      <c r="A979" s="17"/>
      <c r="B979" s="17"/>
      <c r="D979" s="18"/>
      <c r="E979" s="18"/>
      <c r="F979" s="18"/>
      <c r="G979" s="18"/>
      <c r="H979" s="58"/>
      <c r="I979" s="21"/>
      <c r="J979" s="22"/>
    </row>
    <row r="980" spans="1:10" ht="13.2" x14ac:dyDescent="0.25">
      <c r="A980" s="17"/>
      <c r="B980" s="17"/>
      <c r="D980" s="18"/>
      <c r="E980" s="18"/>
      <c r="F980" s="18"/>
      <c r="G980" s="18"/>
      <c r="H980" s="58"/>
      <c r="I980" s="21"/>
      <c r="J980" s="22"/>
    </row>
    <row r="981" spans="1:10" ht="13.2" x14ac:dyDescent="0.25">
      <c r="A981" s="17"/>
      <c r="B981" s="17"/>
      <c r="D981" s="18"/>
      <c r="E981" s="18"/>
      <c r="F981" s="18"/>
      <c r="G981" s="18"/>
      <c r="H981" s="58"/>
      <c r="I981" s="21"/>
      <c r="J981" s="22"/>
    </row>
    <row r="982" spans="1:10" ht="13.2" x14ac:dyDescent="0.25">
      <c r="A982" s="17"/>
      <c r="B982" s="17"/>
      <c r="D982" s="18"/>
      <c r="E982" s="18"/>
      <c r="F982" s="18"/>
      <c r="G982" s="18"/>
      <c r="H982" s="58"/>
      <c r="I982" s="21"/>
      <c r="J982" s="22"/>
    </row>
    <row r="983" spans="1:10" ht="13.2" x14ac:dyDescent="0.25">
      <c r="A983" s="17"/>
      <c r="B983" s="17"/>
      <c r="D983" s="18"/>
      <c r="E983" s="18"/>
      <c r="F983" s="18"/>
      <c r="G983" s="18"/>
      <c r="H983" s="58"/>
      <c r="I983" s="21"/>
      <c r="J983" s="22"/>
    </row>
    <row r="984" spans="1:10" ht="13.2" x14ac:dyDescent="0.25">
      <c r="A984" s="17"/>
      <c r="B984" s="17"/>
      <c r="D984" s="18"/>
      <c r="E984" s="18"/>
      <c r="F984" s="18"/>
      <c r="G984" s="18"/>
      <c r="H984" s="58"/>
      <c r="I984" s="21"/>
      <c r="J984" s="22"/>
    </row>
    <row r="985" spans="1:10" ht="13.2" x14ac:dyDescent="0.25">
      <c r="A985" s="17"/>
      <c r="B985" s="17"/>
      <c r="D985" s="18"/>
      <c r="E985" s="18"/>
      <c r="F985" s="18"/>
      <c r="G985" s="18"/>
      <c r="H985" s="58"/>
      <c r="I985" s="21"/>
      <c r="J985" s="22"/>
    </row>
    <row r="986" spans="1:10" ht="13.2" x14ac:dyDescent="0.25">
      <c r="A986" s="17"/>
      <c r="B986" s="17"/>
      <c r="D986" s="18"/>
      <c r="E986" s="18"/>
      <c r="F986" s="18"/>
      <c r="G986" s="18"/>
      <c r="H986" s="58"/>
      <c r="I986" s="21"/>
      <c r="J986" s="22"/>
    </row>
    <row r="987" spans="1:10" ht="13.2" x14ac:dyDescent="0.25">
      <c r="A987" s="17"/>
      <c r="B987" s="17"/>
      <c r="D987" s="18"/>
      <c r="E987" s="18"/>
      <c r="F987" s="18"/>
      <c r="G987" s="18"/>
      <c r="H987" s="58"/>
      <c r="I987" s="21"/>
      <c r="J987" s="22"/>
    </row>
    <row r="988" spans="1:10" ht="13.2" x14ac:dyDescent="0.25">
      <c r="A988" s="17"/>
      <c r="B988" s="17"/>
      <c r="D988" s="18"/>
      <c r="E988" s="18"/>
      <c r="F988" s="18"/>
      <c r="G988" s="18"/>
      <c r="H988" s="58"/>
      <c r="I988" s="21"/>
      <c r="J988" s="22"/>
    </row>
    <row r="989" spans="1:10" ht="13.2" x14ac:dyDescent="0.25">
      <c r="A989" s="17"/>
      <c r="B989" s="17"/>
      <c r="D989" s="18"/>
      <c r="E989" s="18"/>
      <c r="F989" s="18"/>
      <c r="G989" s="18"/>
      <c r="H989" s="58"/>
      <c r="I989" s="21"/>
      <c r="J989" s="22"/>
    </row>
    <row r="990" spans="1:10" ht="13.2" x14ac:dyDescent="0.25">
      <c r="A990" s="17"/>
      <c r="B990" s="17"/>
      <c r="D990" s="18"/>
      <c r="E990" s="18"/>
      <c r="F990" s="18"/>
      <c r="G990" s="18"/>
      <c r="H990" s="58"/>
      <c r="I990" s="21"/>
      <c r="J990" s="22"/>
    </row>
    <row r="991" spans="1:10" ht="13.2" x14ac:dyDescent="0.25">
      <c r="A991" s="17"/>
      <c r="B991" s="17"/>
      <c r="D991" s="18"/>
      <c r="E991" s="18"/>
      <c r="F991" s="18"/>
      <c r="G991" s="18"/>
      <c r="H991" s="58"/>
      <c r="I991" s="21"/>
      <c r="J991" s="22"/>
    </row>
    <row r="992" spans="1:10" ht="13.2" x14ac:dyDescent="0.25">
      <c r="A992" s="17"/>
      <c r="B992" s="17"/>
      <c r="D992" s="18"/>
      <c r="E992" s="18"/>
      <c r="F992" s="18"/>
      <c r="G992" s="18"/>
      <c r="H992" s="58"/>
      <c r="I992" s="21"/>
      <c r="J992" s="22"/>
    </row>
    <row r="993" spans="1:10" ht="13.2" x14ac:dyDescent="0.25">
      <c r="A993" s="17"/>
      <c r="B993" s="17"/>
      <c r="D993" s="18"/>
      <c r="E993" s="18"/>
      <c r="F993" s="18"/>
      <c r="G993" s="18"/>
      <c r="H993" s="58"/>
      <c r="I993" s="21"/>
      <c r="J993" s="22"/>
    </row>
    <row r="994" spans="1:10" ht="13.2" x14ac:dyDescent="0.25">
      <c r="A994" s="17"/>
      <c r="B994" s="17"/>
      <c r="D994" s="18"/>
      <c r="E994" s="18"/>
      <c r="F994" s="18"/>
      <c r="G994" s="18"/>
      <c r="H994" s="58"/>
      <c r="I994" s="21"/>
      <c r="J994" s="22"/>
    </row>
    <row r="995" spans="1:10" ht="13.2" x14ac:dyDescent="0.25">
      <c r="A995" s="17"/>
      <c r="B995" s="17"/>
      <c r="D995" s="18"/>
      <c r="E995" s="18"/>
      <c r="F995" s="18"/>
      <c r="G995" s="18"/>
      <c r="H995" s="58"/>
      <c r="I995" s="21"/>
      <c r="J995" s="22"/>
    </row>
    <row r="996" spans="1:10" ht="13.2" x14ac:dyDescent="0.25">
      <c r="A996" s="17"/>
      <c r="B996" s="17"/>
      <c r="D996" s="18"/>
      <c r="E996" s="18"/>
      <c r="F996" s="18"/>
      <c r="G996" s="18"/>
      <c r="H996" s="58"/>
      <c r="I996" s="21"/>
      <c r="J996" s="22"/>
    </row>
    <row r="997" spans="1:10" ht="13.2" x14ac:dyDescent="0.25">
      <c r="A997" s="17"/>
      <c r="B997" s="17"/>
      <c r="D997" s="18"/>
      <c r="E997" s="18"/>
      <c r="F997" s="18"/>
      <c r="G997" s="18"/>
      <c r="H997" s="58"/>
      <c r="I997" s="21"/>
      <c r="J997" s="22"/>
    </row>
    <row r="998" spans="1:10" ht="13.2" x14ac:dyDescent="0.25">
      <c r="A998" s="17"/>
      <c r="B998" s="17"/>
      <c r="D998" s="18"/>
      <c r="E998" s="18"/>
      <c r="F998" s="18"/>
      <c r="G998" s="18"/>
      <c r="H998" s="58"/>
      <c r="I998" s="21"/>
      <c r="J998" s="22"/>
    </row>
    <row r="999" spans="1:10" ht="13.2" x14ac:dyDescent="0.25">
      <c r="A999" s="17"/>
      <c r="B999" s="17"/>
      <c r="D999" s="18"/>
      <c r="E999" s="18"/>
      <c r="F999" s="18"/>
      <c r="G999" s="18"/>
      <c r="H999" s="58"/>
      <c r="I999" s="21"/>
      <c r="J999" s="22"/>
    </row>
    <row r="1000" spans="1:10" ht="13.2" x14ac:dyDescent="0.25">
      <c r="A1000" s="17"/>
      <c r="B1000" s="17"/>
      <c r="D1000" s="18"/>
      <c r="E1000" s="18"/>
      <c r="F1000" s="18"/>
      <c r="G1000" s="18"/>
      <c r="H1000" s="58"/>
      <c r="I1000" s="21"/>
      <c r="J1000" s="22"/>
    </row>
    <row r="1001" spans="1:10" ht="13.2" x14ac:dyDescent="0.25">
      <c r="A1001" s="17"/>
      <c r="B1001" s="17"/>
      <c r="D1001" s="18"/>
      <c r="E1001" s="18"/>
      <c r="F1001" s="18"/>
      <c r="G1001" s="18"/>
      <c r="H1001" s="58"/>
      <c r="I1001" s="21"/>
      <c r="J1001" s="22"/>
    </row>
    <row r="1002" spans="1:10" ht="13.2" x14ac:dyDescent="0.25">
      <c r="A1002" s="17"/>
      <c r="B1002" s="17"/>
      <c r="D1002" s="18"/>
      <c r="E1002" s="18"/>
      <c r="F1002" s="18"/>
      <c r="G1002" s="18"/>
      <c r="H1002" s="58"/>
      <c r="I1002" s="21"/>
      <c r="J1002" s="22"/>
    </row>
    <row r="1003" spans="1:10" ht="13.2" x14ac:dyDescent="0.25">
      <c r="A1003" s="17"/>
      <c r="B1003" s="17"/>
      <c r="D1003" s="18"/>
      <c r="E1003" s="18"/>
      <c r="F1003" s="18"/>
      <c r="G1003" s="18"/>
      <c r="H1003" s="58"/>
      <c r="I1003" s="21"/>
      <c r="J1003" s="22"/>
    </row>
    <row r="1004" spans="1:10" ht="13.2" x14ac:dyDescent="0.25">
      <c r="A1004" s="17"/>
      <c r="B1004" s="17"/>
      <c r="D1004" s="18"/>
      <c r="E1004" s="18"/>
      <c r="F1004" s="18"/>
      <c r="G1004" s="18"/>
      <c r="H1004" s="58"/>
      <c r="I1004" s="21"/>
      <c r="J1004" s="22"/>
    </row>
    <row r="1005" spans="1:10" ht="13.2" x14ac:dyDescent="0.25">
      <c r="A1005" s="17"/>
      <c r="B1005" s="17"/>
      <c r="D1005" s="18"/>
      <c r="E1005" s="18"/>
      <c r="F1005" s="18"/>
      <c r="G1005" s="18"/>
      <c r="H1005" s="58"/>
      <c r="I1005" s="21"/>
      <c r="J1005" s="22"/>
    </row>
    <row r="1006" spans="1:10" ht="13.2" x14ac:dyDescent="0.25">
      <c r="A1006" s="17"/>
      <c r="B1006" s="17"/>
      <c r="D1006" s="18"/>
      <c r="E1006" s="18"/>
      <c r="F1006" s="18"/>
      <c r="G1006" s="18"/>
      <c r="H1006" s="58"/>
      <c r="I1006" s="21"/>
      <c r="J1006" s="22"/>
    </row>
    <row r="1007" spans="1:10" ht="13.2" x14ac:dyDescent="0.25">
      <c r="A1007" s="17"/>
      <c r="B1007" s="17"/>
      <c r="D1007" s="18"/>
      <c r="E1007" s="18"/>
      <c r="F1007" s="18"/>
      <c r="G1007" s="18"/>
      <c r="H1007" s="58"/>
      <c r="I1007" s="21"/>
      <c r="J1007" s="22"/>
    </row>
    <row r="1008" spans="1:10" ht="13.2" x14ac:dyDescent="0.25">
      <c r="A1008" s="17"/>
      <c r="B1008" s="17"/>
      <c r="D1008" s="18"/>
      <c r="E1008" s="18"/>
      <c r="F1008" s="18"/>
      <c r="G1008" s="18"/>
      <c r="H1008" s="58"/>
      <c r="I1008" s="21"/>
      <c r="J1008" s="22"/>
    </row>
    <row r="1009" spans="1:10" ht="13.2" x14ac:dyDescent="0.25">
      <c r="A1009" s="17"/>
      <c r="B1009" s="17"/>
      <c r="D1009" s="18"/>
      <c r="E1009" s="18"/>
      <c r="F1009" s="18"/>
      <c r="G1009" s="18"/>
      <c r="H1009" s="58"/>
      <c r="I1009" s="21"/>
      <c r="J1009" s="22"/>
    </row>
    <row r="1010" spans="1:10" ht="13.2" x14ac:dyDescent="0.25">
      <c r="A1010" s="17"/>
      <c r="B1010" s="17"/>
      <c r="D1010" s="18"/>
      <c r="E1010" s="18"/>
      <c r="F1010" s="18"/>
      <c r="G1010" s="18"/>
      <c r="H1010" s="58"/>
      <c r="I1010" s="21"/>
      <c r="J1010" s="22"/>
    </row>
    <row r="1011" spans="1:10" ht="13.2" x14ac:dyDescent="0.25">
      <c r="A1011" s="17"/>
      <c r="B1011" s="17"/>
      <c r="D1011" s="18"/>
      <c r="E1011" s="18"/>
      <c r="F1011" s="18"/>
      <c r="G1011" s="18"/>
      <c r="H1011" s="58"/>
      <c r="I1011" s="21"/>
      <c r="J1011" s="22"/>
    </row>
    <row r="1012" spans="1:10" ht="13.2" x14ac:dyDescent="0.25">
      <c r="A1012" s="17"/>
      <c r="B1012" s="17"/>
      <c r="D1012" s="18"/>
      <c r="E1012" s="18"/>
      <c r="F1012" s="18"/>
      <c r="G1012" s="18"/>
      <c r="H1012" s="58"/>
      <c r="I1012" s="21"/>
      <c r="J1012" s="22"/>
    </row>
    <row r="1013" spans="1:10" ht="13.2" x14ac:dyDescent="0.25">
      <c r="A1013" s="17"/>
      <c r="B1013" s="17"/>
      <c r="D1013" s="18"/>
      <c r="E1013" s="18"/>
      <c r="F1013" s="18"/>
      <c r="G1013" s="18"/>
      <c r="H1013" s="58"/>
      <c r="I1013" s="21"/>
      <c r="J1013" s="22"/>
    </row>
    <row r="1014" spans="1:10" ht="13.2" x14ac:dyDescent="0.25">
      <c r="A1014" s="17"/>
      <c r="B1014" s="17"/>
      <c r="D1014" s="18"/>
      <c r="E1014" s="18"/>
      <c r="F1014" s="18"/>
      <c r="G1014" s="18"/>
      <c r="H1014" s="58"/>
      <c r="I1014" s="21"/>
      <c r="J1014" s="22"/>
    </row>
    <row r="1015" spans="1:10" ht="13.2" x14ac:dyDescent="0.25">
      <c r="A1015" s="17"/>
      <c r="B1015" s="17"/>
      <c r="D1015" s="18"/>
      <c r="E1015" s="18"/>
      <c r="F1015" s="18"/>
      <c r="G1015" s="18"/>
      <c r="H1015" s="58"/>
      <c r="I1015" s="21"/>
      <c r="J1015" s="22"/>
    </row>
    <row r="1016" spans="1:10" ht="13.2" x14ac:dyDescent="0.25">
      <c r="A1016" s="17"/>
      <c r="B1016" s="17"/>
      <c r="D1016" s="18"/>
      <c r="E1016" s="18"/>
      <c r="F1016" s="18"/>
      <c r="G1016" s="18"/>
      <c r="H1016" s="58"/>
      <c r="I1016" s="21"/>
      <c r="J1016" s="22"/>
    </row>
    <row r="1017" spans="1:10" ht="13.2" x14ac:dyDescent="0.25">
      <c r="A1017" s="17"/>
      <c r="B1017" s="17"/>
      <c r="D1017" s="18"/>
      <c r="E1017" s="18"/>
      <c r="F1017" s="18"/>
      <c r="G1017" s="18"/>
      <c r="H1017" s="58"/>
      <c r="I1017" s="21"/>
      <c r="J1017" s="22"/>
    </row>
    <row r="1018" spans="1:10" ht="13.2" x14ac:dyDescent="0.25">
      <c r="A1018" s="17"/>
      <c r="B1018" s="17"/>
      <c r="D1018" s="18"/>
      <c r="E1018" s="18"/>
      <c r="F1018" s="18"/>
      <c r="G1018" s="18"/>
      <c r="H1018" s="58"/>
      <c r="I1018" s="21"/>
      <c r="J1018" s="22"/>
    </row>
    <row r="1019" spans="1:10" ht="13.2" x14ac:dyDescent="0.25">
      <c r="A1019" s="17"/>
      <c r="B1019" s="17"/>
      <c r="D1019" s="18"/>
      <c r="E1019" s="18"/>
      <c r="F1019" s="18"/>
      <c r="G1019" s="18"/>
      <c r="H1019" s="58"/>
      <c r="I1019" s="21"/>
      <c r="J1019" s="22"/>
    </row>
    <row r="1020" spans="1:10" ht="13.2" x14ac:dyDescent="0.25">
      <c r="A1020" s="17"/>
      <c r="B1020" s="17"/>
      <c r="D1020" s="18"/>
      <c r="E1020" s="18"/>
      <c r="F1020" s="18"/>
      <c r="G1020" s="18"/>
      <c r="H1020" s="58"/>
      <c r="I1020" s="21"/>
      <c r="J1020" s="22"/>
    </row>
    <row r="1021" spans="1:10" ht="13.2" x14ac:dyDescent="0.25">
      <c r="A1021" s="17"/>
      <c r="B1021" s="17"/>
      <c r="D1021" s="18"/>
      <c r="E1021" s="18"/>
      <c r="F1021" s="18"/>
      <c r="G1021" s="18"/>
      <c r="H1021" s="58"/>
      <c r="I1021" s="21"/>
      <c r="J1021" s="22"/>
    </row>
    <row r="1022" spans="1:10" ht="13.2" x14ac:dyDescent="0.25">
      <c r="A1022" s="17"/>
      <c r="B1022" s="17"/>
      <c r="D1022" s="18"/>
      <c r="E1022" s="18"/>
      <c r="F1022" s="18"/>
      <c r="G1022" s="18"/>
      <c r="H1022" s="58"/>
      <c r="I1022" s="21"/>
      <c r="J1022" s="22"/>
    </row>
    <row r="1023" spans="1:10" ht="13.2" x14ac:dyDescent="0.25">
      <c r="A1023" s="17"/>
      <c r="B1023" s="17"/>
      <c r="D1023" s="18"/>
      <c r="E1023" s="18"/>
      <c r="F1023" s="18"/>
      <c r="G1023" s="18"/>
      <c r="H1023" s="58"/>
      <c r="I1023" s="21"/>
      <c r="J1023" s="22"/>
    </row>
    <row r="1024" spans="1:10" ht="13.2" x14ac:dyDescent="0.25">
      <c r="A1024" s="17"/>
      <c r="B1024" s="17"/>
      <c r="D1024" s="18"/>
      <c r="E1024" s="18"/>
      <c r="F1024" s="18"/>
      <c r="G1024" s="18"/>
      <c r="H1024" s="58"/>
      <c r="I1024" s="21"/>
      <c r="J1024" s="22"/>
    </row>
  </sheetData>
  <mergeCells count="25">
    <mergeCell ref="B180:G180"/>
    <mergeCell ref="B188:G188"/>
    <mergeCell ref="B196:G196"/>
    <mergeCell ref="B116:G116"/>
    <mergeCell ref="B124:G124"/>
    <mergeCell ref="B132:G132"/>
    <mergeCell ref="B140:G140"/>
    <mergeCell ref="B148:H148"/>
    <mergeCell ref="B156:G156"/>
    <mergeCell ref="B164:G164"/>
    <mergeCell ref="B84:G84"/>
    <mergeCell ref="B92:G92"/>
    <mergeCell ref="B100:G100"/>
    <mergeCell ref="B108:G108"/>
    <mergeCell ref="B172:G172"/>
    <mergeCell ref="B44:G44"/>
    <mergeCell ref="B52:G52"/>
    <mergeCell ref="B60:G60"/>
    <mergeCell ref="B68:G68"/>
    <mergeCell ref="B76:G76"/>
    <mergeCell ref="B4:G4"/>
    <mergeCell ref="B12:G12"/>
    <mergeCell ref="B20:G20"/>
    <mergeCell ref="B28:G28"/>
    <mergeCell ref="B36:G36"/>
  </mergeCells>
  <conditionalFormatting sqref="L13">
    <cfRule type="notContainsBlanks" dxfId="1" priority="1">
      <formula>LEN(TRIM(L13))&gt;0</formula>
    </cfRule>
  </conditionalFormatting>
  <dataValidations count="2">
    <dataValidation type="custom" allowBlank="1" showDropDown="1" showInputMessage="1" showErrorMessage="1" prompt="Ebbe a cellába csak 2011 és 2014 közötti értéket kell megadni!" sqref="D5:D9 D13:D17 D21:D25 D29:D33 D37:D41 D45:D49 D53:D57 D61:D65 D69:D73 D77:D81 D85:D89 D93:D97 D101:D105 D109:D113 D117:D121 D125:D129 D133:D137 D141:D145 D149:D153 D157:D161 D165:D169 D173:D177 D181:D185 D189:D193 D197:D201" xr:uid="{00000000-0002-0000-0600-000000000000}">
      <formula1>OR(D5 = "2011", D5="2012",  D5="2013", D5="2014")</formula1>
    </dataValidation>
    <dataValidation type="custom" allowBlank="1" showDropDown="1" showInputMessage="1" showErrorMessage="1" prompt="Csak szám, (12,33), x. és - jel használható!" sqref="E5:G9 E13:G17 E21:G25 E29:G33 E37:G41 E45:G49 E53:G57 E61:G65 E69:G73 E77:G81 E85:G89 E93:G97 E109:G113 E117:G121 E125:G129 E133:G137 E141:G145 E149:G153 E157:G161 E165:G169 E173:G177 E181:G185 E189:G193 E197:G201" xr:uid="{00000000-0002-0000-0600-000001000000}">
      <formula1>REGEXMATCH(E5,"^\d{1,2},\d{2}$|^x$|^X$|^-$")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1C232"/>
    <outlinePr summaryBelow="0" summaryRight="0"/>
  </sheetPr>
  <dimension ref="A1:AA1024"/>
  <sheetViews>
    <sheetView workbookViewId="0">
      <pane ySplit="3" topLeftCell="A4" activePane="bottomLeft" state="frozen"/>
      <selection pane="bottomLeft" activeCell="B5" sqref="B5"/>
    </sheetView>
  </sheetViews>
  <sheetFormatPr defaultColWidth="12.6640625" defaultRowHeight="15.75" customHeight="1" x14ac:dyDescent="0.25"/>
  <cols>
    <col min="1" max="1" width="4.21875" customWidth="1"/>
    <col min="2" max="2" width="3.21875" customWidth="1"/>
    <col min="3" max="3" width="22.44140625" customWidth="1"/>
    <col min="4" max="4" width="6.44140625" customWidth="1"/>
    <col min="5" max="7" width="7.109375" customWidth="1"/>
    <col min="8" max="8" width="6.88671875" customWidth="1"/>
    <col min="10" max="10" width="8.21875" customWidth="1"/>
  </cols>
  <sheetData>
    <row r="1" spans="1:27" ht="25.8" x14ac:dyDescent="0.8">
      <c r="A1" s="65" t="s">
        <v>672</v>
      </c>
      <c r="B1" s="66"/>
      <c r="C1" s="67"/>
      <c r="D1" s="68"/>
      <c r="E1" s="69"/>
      <c r="F1" s="69"/>
      <c r="G1" s="69"/>
      <c r="H1" s="73"/>
      <c r="I1" s="72"/>
      <c r="J1" s="73"/>
    </row>
    <row r="2" spans="1:27" ht="16.2" x14ac:dyDescent="0.5">
      <c r="A2" s="9" t="s">
        <v>1</v>
      </c>
      <c r="B2" s="9" t="s">
        <v>2</v>
      </c>
      <c r="C2" s="11"/>
      <c r="D2" s="12" t="s">
        <v>3</v>
      </c>
      <c r="E2" s="12" t="s">
        <v>74</v>
      </c>
      <c r="F2" s="12" t="s">
        <v>75</v>
      </c>
      <c r="G2" s="12" t="s">
        <v>76</v>
      </c>
      <c r="H2" s="57" t="s">
        <v>77</v>
      </c>
      <c r="I2" s="14" t="s">
        <v>6</v>
      </c>
      <c r="J2" s="15" t="s">
        <v>7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13.2" x14ac:dyDescent="0.25">
      <c r="A3" s="17"/>
      <c r="B3" s="17"/>
      <c r="D3" s="18"/>
      <c r="E3" s="18"/>
      <c r="F3" s="18"/>
      <c r="G3" s="18"/>
      <c r="H3" s="58"/>
      <c r="I3" s="21"/>
      <c r="J3" s="22"/>
    </row>
    <row r="4" spans="1:27" ht="15.6" x14ac:dyDescent="0.25">
      <c r="A4" s="23">
        <v>1</v>
      </c>
      <c r="B4" s="97" t="s">
        <v>46</v>
      </c>
      <c r="C4" s="98"/>
      <c r="D4" s="98"/>
      <c r="E4" s="98"/>
      <c r="F4" s="98"/>
      <c r="G4" s="99"/>
      <c r="H4" s="59"/>
      <c r="I4" s="25">
        <f ca="1">IF(COUNTIFS(H5:H9,"&gt;0") &gt; 3, FLOOR((SUM(H5:H9)-MIN(H5,H6,H7,H8,H9))/4,0.0001), )</f>
        <v>45.997500000000002</v>
      </c>
      <c r="J4" s="26">
        <f ca="1">IF(I4=0,"",RANK(I4,$I$4:$I$224,))</f>
        <v>1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8.75" customHeight="1" x14ac:dyDescent="0.25">
      <c r="A5" s="17"/>
      <c r="B5" s="28">
        <v>1</v>
      </c>
      <c r="C5" s="29" t="s">
        <v>614</v>
      </c>
      <c r="D5" s="30" t="s">
        <v>10</v>
      </c>
      <c r="E5" s="60" t="s">
        <v>673</v>
      </c>
      <c r="F5" s="60" t="s">
        <v>369</v>
      </c>
      <c r="G5" s="60" t="s">
        <v>369</v>
      </c>
      <c r="H5" s="61">
        <f ca="1">IFERROR(__xludf.DUMMYFUNCTION("MAX(IF(REGEXMATCH(E5,""^\d{1,2},\d{2}$""),VALUE(E5),0),IF(REGEXMATCH(F5,""^\d{1,2},\d{2}$""),VALUE(F5),0),IF(REGEXMATCH(G5,""^\d{1,2},\d{2}$""),VALUE(G5),0))"),59.61)</f>
        <v>59.61</v>
      </c>
      <c r="I5" s="21"/>
      <c r="J5" s="22"/>
    </row>
    <row r="6" spans="1:27" ht="18.75" customHeight="1" x14ac:dyDescent="0.25">
      <c r="A6" s="17"/>
      <c r="B6" s="28">
        <v>2</v>
      </c>
      <c r="C6" s="29" t="s">
        <v>616</v>
      </c>
      <c r="D6" s="30" t="s">
        <v>15</v>
      </c>
      <c r="E6" s="60" t="s">
        <v>674</v>
      </c>
      <c r="F6" s="60" t="s">
        <v>369</v>
      </c>
      <c r="G6" s="60" t="s">
        <v>369</v>
      </c>
      <c r="H6" s="61">
        <f ca="1">IFERROR(__xludf.DUMMYFUNCTION("MAX(IF(REGEXMATCH(E6,""^\d{1,2},\d{2}$""),VALUE(E6),0),IF(REGEXMATCH(F6,""^\d{1,2},\d{2}$""),VALUE(F6),0),IF(REGEXMATCH(G6,""^\d{1,2},\d{2}$""),VALUE(G6),0))"),43.98)</f>
        <v>43.98</v>
      </c>
      <c r="I6" s="21"/>
      <c r="J6" s="22"/>
    </row>
    <row r="7" spans="1:27" ht="18.75" customHeight="1" x14ac:dyDescent="0.25">
      <c r="A7" s="17"/>
      <c r="B7" s="28">
        <v>3</v>
      </c>
      <c r="C7" s="29" t="s">
        <v>675</v>
      </c>
      <c r="D7" s="30" t="s">
        <v>41</v>
      </c>
      <c r="E7" s="60" t="s">
        <v>676</v>
      </c>
      <c r="F7" s="60" t="s">
        <v>369</v>
      </c>
      <c r="G7" s="60" t="s">
        <v>369</v>
      </c>
      <c r="H7" s="61">
        <f ca="1">IFERROR(__xludf.DUMMYFUNCTION("MAX(IF(REGEXMATCH(E7,""^\d{1,2},\d{2}$""),VALUE(E7),0),IF(REGEXMATCH(F7,""^\d{1,2},\d{2}$""),VALUE(F7),0),IF(REGEXMATCH(G7,""^\d{1,2},\d{2}$""),VALUE(G7),0))"),39.32)</f>
        <v>39.32</v>
      </c>
      <c r="I7" s="21"/>
      <c r="J7" s="22"/>
    </row>
    <row r="8" spans="1:27" ht="18.75" customHeight="1" x14ac:dyDescent="0.25">
      <c r="A8" s="17"/>
      <c r="B8" s="28">
        <v>4</v>
      </c>
      <c r="C8" s="29" t="s">
        <v>622</v>
      </c>
      <c r="D8" s="30" t="s">
        <v>15</v>
      </c>
      <c r="E8" s="60" t="s">
        <v>677</v>
      </c>
      <c r="F8" s="60" t="s">
        <v>369</v>
      </c>
      <c r="G8" s="60" t="s">
        <v>369</v>
      </c>
      <c r="H8" s="61">
        <f ca="1">IFERROR(__xludf.DUMMYFUNCTION("MAX(IF(REGEXMATCH(E8,""^\d{1,2},\d{2}$""),VALUE(E8),0),IF(REGEXMATCH(F8,""^\d{1,2},\d{2}$""),VALUE(F8),0),IF(REGEXMATCH(G8,""^\d{1,2},\d{2}$""),VALUE(G8),0))"),38.4)</f>
        <v>38.4</v>
      </c>
      <c r="I8" s="21"/>
      <c r="J8" s="22"/>
    </row>
    <row r="9" spans="1:27" ht="18.75" customHeight="1" x14ac:dyDescent="0.25">
      <c r="A9" s="17"/>
      <c r="B9" s="28">
        <v>5</v>
      </c>
      <c r="C9" s="29" t="s">
        <v>507</v>
      </c>
      <c r="D9" s="30" t="s">
        <v>41</v>
      </c>
      <c r="E9" s="60" t="s">
        <v>678</v>
      </c>
      <c r="F9" s="60" t="s">
        <v>369</v>
      </c>
      <c r="G9" s="60" t="s">
        <v>369</v>
      </c>
      <c r="H9" s="61">
        <f ca="1">IFERROR(__xludf.DUMMYFUNCTION("MAX(IF(REGEXMATCH(E9,""^\d{1,2},\d{2}$""),VALUE(E9),0),IF(REGEXMATCH(F9,""^\d{1,2},\d{2}$""),VALUE(F9),0),IF(REGEXMATCH(G9,""^\d{1,2},\d{2}$""),VALUE(G9),0))"),41.08)</f>
        <v>41.08</v>
      </c>
      <c r="I9" s="21"/>
      <c r="J9" s="22"/>
    </row>
    <row r="10" spans="1:27" ht="13.2" x14ac:dyDescent="0.25">
      <c r="A10" s="17"/>
      <c r="B10" s="62" t="s">
        <v>18</v>
      </c>
      <c r="C10" s="36"/>
      <c r="D10" s="37" t="s">
        <v>53</v>
      </c>
      <c r="E10" s="38"/>
      <c r="F10" s="38"/>
      <c r="G10" s="38"/>
      <c r="H10" s="63"/>
      <c r="I10" s="21"/>
      <c r="J10" s="22"/>
    </row>
    <row r="11" spans="1:27" ht="13.2" x14ac:dyDescent="0.25">
      <c r="A11" s="17"/>
      <c r="B11" s="17"/>
      <c r="D11" s="18"/>
      <c r="E11" s="18"/>
      <c r="F11" s="18"/>
      <c r="G11" s="18"/>
      <c r="H11" s="58"/>
      <c r="I11" s="21"/>
      <c r="J11" s="22"/>
    </row>
    <row r="12" spans="1:27" ht="15.6" x14ac:dyDescent="0.25">
      <c r="A12" s="23">
        <v>2</v>
      </c>
      <c r="B12" s="97" t="s">
        <v>438</v>
      </c>
      <c r="C12" s="98"/>
      <c r="D12" s="98"/>
      <c r="E12" s="98"/>
      <c r="F12" s="98"/>
      <c r="G12" s="98"/>
      <c r="H12" s="59"/>
      <c r="I12" s="25">
        <f ca="1">IF(COUNTIFS(H13:H17,"&gt;0") &gt; 3, FLOOR((SUM(H13:H17)-MIN(H13,H14,H15,H16,H17))/4,0.0001), )</f>
        <v>43.372500000000002</v>
      </c>
      <c r="J12" s="26">
        <f ca="1">IF(I12=0,"",RANK(I12,$I$4:$I$224,))</f>
        <v>2</v>
      </c>
    </row>
    <row r="13" spans="1:27" ht="18.75" customHeight="1" x14ac:dyDescent="0.25">
      <c r="A13" s="17"/>
      <c r="B13" s="28">
        <v>1</v>
      </c>
      <c r="C13" s="29" t="s">
        <v>679</v>
      </c>
      <c r="D13" s="30" t="s">
        <v>10</v>
      </c>
      <c r="E13" s="60" t="s">
        <v>680</v>
      </c>
      <c r="F13" s="60"/>
      <c r="G13" s="60"/>
      <c r="H13" s="61">
        <f ca="1">IFERROR(__xludf.DUMMYFUNCTION("MAX(IF(REGEXMATCH(E13,""^\d{1,2},\d{2}$""),VALUE(E13),0),IF(REGEXMATCH(F13,""^\d{1,2},\d{2}$""),VALUE(F13),0),IF(REGEXMATCH(G13,""^\d{1,2},\d{2}$""),VALUE(G13),0))"),48.53)</f>
        <v>48.53</v>
      </c>
      <c r="I13" s="21"/>
      <c r="J13" s="22"/>
    </row>
    <row r="14" spans="1:27" ht="18.75" customHeight="1" x14ac:dyDescent="0.25">
      <c r="A14" s="17"/>
      <c r="B14" s="28">
        <v>2</v>
      </c>
      <c r="C14" s="29" t="s">
        <v>681</v>
      </c>
      <c r="D14" s="30" t="s">
        <v>10</v>
      </c>
      <c r="E14" s="60" t="s">
        <v>682</v>
      </c>
      <c r="F14" s="60"/>
      <c r="G14" s="60"/>
      <c r="H14" s="61">
        <f ca="1">IFERROR(__xludf.DUMMYFUNCTION("MAX(IF(REGEXMATCH(E14,""^\d{1,2},\d{2}$""),VALUE(E14),0),IF(REGEXMATCH(F14,""^\d{1,2},\d{2}$""),VALUE(F14),0),IF(REGEXMATCH(G14,""^\d{1,2},\d{2}$""),VALUE(G14),0))"),35.27)</f>
        <v>35.270000000000003</v>
      </c>
      <c r="I14" s="21"/>
      <c r="J14" s="22"/>
    </row>
    <row r="15" spans="1:27" ht="18.75" customHeight="1" x14ac:dyDescent="0.25">
      <c r="A15" s="17"/>
      <c r="B15" s="28">
        <v>3</v>
      </c>
      <c r="C15" s="29" t="s">
        <v>683</v>
      </c>
      <c r="D15" s="30" t="s">
        <v>10</v>
      </c>
      <c r="E15" s="60" t="s">
        <v>684</v>
      </c>
      <c r="F15" s="60"/>
      <c r="G15" s="60"/>
      <c r="H15" s="61">
        <f ca="1">IFERROR(__xludf.DUMMYFUNCTION("MAX(IF(REGEXMATCH(E15,""^\d{1,2},\d{2}$""),VALUE(E15),0),IF(REGEXMATCH(F15,""^\d{1,2},\d{2}$""),VALUE(F15),0),IF(REGEXMATCH(G15,""^\d{1,2},\d{2}$""),VALUE(G15),0))"),47.83)</f>
        <v>47.83</v>
      </c>
      <c r="I15" s="21"/>
      <c r="J15" s="22"/>
    </row>
    <row r="16" spans="1:27" ht="18.75" customHeight="1" x14ac:dyDescent="0.25">
      <c r="A16" s="17"/>
      <c r="B16" s="28">
        <v>4</v>
      </c>
      <c r="C16" s="29" t="s">
        <v>685</v>
      </c>
      <c r="D16" s="30" t="s">
        <v>10</v>
      </c>
      <c r="E16" s="60" t="s">
        <v>686</v>
      </c>
      <c r="F16" s="60"/>
      <c r="G16" s="60"/>
      <c r="H16" s="61">
        <f ca="1">IFERROR(__xludf.DUMMYFUNCTION("MAX(IF(REGEXMATCH(E16,""^\d{1,2},\d{2}$""),VALUE(E16),0),IF(REGEXMATCH(F16,""^\d{1,2},\d{2}$""),VALUE(F16),0),IF(REGEXMATCH(G16,""^\d{1,2},\d{2}$""),VALUE(G16),0))"),39.96)</f>
        <v>39.96</v>
      </c>
      <c r="I16" s="21"/>
      <c r="J16" s="22"/>
    </row>
    <row r="17" spans="1:10" ht="18.75" customHeight="1" x14ac:dyDescent="0.25">
      <c r="A17" s="17"/>
      <c r="B17" s="28">
        <v>5</v>
      </c>
      <c r="C17" s="29" t="s">
        <v>687</v>
      </c>
      <c r="D17" s="30" t="s">
        <v>10</v>
      </c>
      <c r="E17" s="60" t="s">
        <v>688</v>
      </c>
      <c r="F17" s="60"/>
      <c r="G17" s="60"/>
      <c r="H17" s="61">
        <f ca="1">IFERROR(__xludf.DUMMYFUNCTION("MAX(IF(REGEXMATCH(E17,""^\d{1,2},\d{2}$""),VALUE(E17),0),IF(REGEXMATCH(F17,""^\d{1,2},\d{2}$""),VALUE(F17),0),IF(REGEXMATCH(G17,""^\d{1,2},\d{2}$""),VALUE(G17),0))"),37.17)</f>
        <v>37.17</v>
      </c>
      <c r="I17" s="21"/>
      <c r="J17" s="22"/>
    </row>
    <row r="18" spans="1:10" ht="13.2" x14ac:dyDescent="0.25">
      <c r="A18" s="17"/>
      <c r="B18" s="62" t="s">
        <v>18</v>
      </c>
      <c r="C18" s="36"/>
      <c r="D18" s="44" t="s">
        <v>449</v>
      </c>
      <c r="E18" s="38"/>
      <c r="F18" s="38"/>
      <c r="G18" s="38"/>
      <c r="H18" s="63"/>
      <c r="I18" s="21"/>
      <c r="J18" s="22"/>
    </row>
    <row r="19" spans="1:10" ht="13.2" x14ac:dyDescent="0.25">
      <c r="A19" s="17"/>
      <c r="B19" s="17"/>
      <c r="D19" s="18"/>
      <c r="E19" s="18"/>
      <c r="F19" s="18"/>
      <c r="G19" s="18"/>
      <c r="H19" s="58"/>
      <c r="I19" s="21"/>
      <c r="J19" s="22"/>
    </row>
    <row r="20" spans="1:10" ht="15.6" x14ac:dyDescent="0.25">
      <c r="A20" s="23">
        <v>3</v>
      </c>
      <c r="B20" s="97" t="s">
        <v>148</v>
      </c>
      <c r="C20" s="98"/>
      <c r="D20" s="98"/>
      <c r="E20" s="98"/>
      <c r="F20" s="98"/>
      <c r="G20" s="98"/>
      <c r="H20" s="59"/>
      <c r="I20" s="25">
        <f ca="1">IF(COUNTIFS(H21:H25,"&gt;0") &gt; 3, FLOOR((SUM(H21:H25)-MIN(H21,H22,H23,H24,H25))/4,0.0001), )</f>
        <v>41.385000000000005</v>
      </c>
      <c r="J20" s="26">
        <f ca="1">IF(I20=0,"",RANK(I20,$I$4:$I$224,))</f>
        <v>3</v>
      </c>
    </row>
    <row r="21" spans="1:10" ht="13.2" x14ac:dyDescent="0.25">
      <c r="A21" s="17"/>
      <c r="B21" s="28">
        <v>1</v>
      </c>
      <c r="C21" s="29" t="s">
        <v>563</v>
      </c>
      <c r="D21" s="30" t="s">
        <v>15</v>
      </c>
      <c r="E21" s="60" t="s">
        <v>689</v>
      </c>
      <c r="F21" s="60"/>
      <c r="G21" s="60"/>
      <c r="H21" s="61">
        <f ca="1">IFERROR(__xludf.DUMMYFUNCTION("MAX(IF(REGEXMATCH(E21,""^\d{1,2},\d{2}$""),VALUE(E21),0),IF(REGEXMATCH(F21,""^\d{1,2},\d{2}$""),VALUE(F21),0),IF(REGEXMATCH(G21,""^\d{1,2},\d{2}$""),VALUE(G21),0))"),42.14)</f>
        <v>42.14</v>
      </c>
      <c r="I21" s="21"/>
      <c r="J21" s="22"/>
    </row>
    <row r="22" spans="1:10" ht="13.2" x14ac:dyDescent="0.25">
      <c r="A22" s="17"/>
      <c r="B22" s="28">
        <v>2</v>
      </c>
      <c r="C22" s="29" t="s">
        <v>571</v>
      </c>
      <c r="D22" s="30" t="s">
        <v>41</v>
      </c>
      <c r="E22" s="60" t="s">
        <v>690</v>
      </c>
      <c r="F22" s="60"/>
      <c r="G22" s="60"/>
      <c r="H22" s="61">
        <f ca="1">IFERROR(__xludf.DUMMYFUNCTION("MAX(IF(REGEXMATCH(E22,""^\d{1,2},\d{2}$""),VALUE(E22),0),IF(REGEXMATCH(F22,""^\d{1,2},\d{2}$""),VALUE(F22),0),IF(REGEXMATCH(G22,""^\d{1,2},\d{2}$""),VALUE(G22),0))"),47.51)</f>
        <v>47.51</v>
      </c>
      <c r="I22" s="21"/>
      <c r="J22" s="22"/>
    </row>
    <row r="23" spans="1:10" ht="13.2" x14ac:dyDescent="0.25">
      <c r="A23" s="17"/>
      <c r="B23" s="28">
        <v>3</v>
      </c>
      <c r="C23" s="29" t="s">
        <v>567</v>
      </c>
      <c r="D23" s="30" t="s">
        <v>41</v>
      </c>
      <c r="E23" s="60" t="s">
        <v>691</v>
      </c>
      <c r="F23" s="60"/>
      <c r="G23" s="60"/>
      <c r="H23" s="61">
        <f ca="1">IFERROR(__xludf.DUMMYFUNCTION("MAX(IF(REGEXMATCH(E23,""^\d{1,2},\d{2}$""),VALUE(E23),0),IF(REGEXMATCH(F23,""^\d{1,2},\d{2}$""),VALUE(F23),0),IF(REGEXMATCH(G23,""^\d{1,2},\d{2}$""),VALUE(G23),0))"),37.39)</f>
        <v>37.39</v>
      </c>
      <c r="I23" s="21"/>
      <c r="J23" s="22"/>
    </row>
    <row r="24" spans="1:10" ht="13.2" x14ac:dyDescent="0.25">
      <c r="A24" s="17"/>
      <c r="B24" s="28">
        <v>4</v>
      </c>
      <c r="C24" s="29" t="s">
        <v>692</v>
      </c>
      <c r="D24" s="30" t="s">
        <v>41</v>
      </c>
      <c r="E24" s="60" t="s">
        <v>693</v>
      </c>
      <c r="F24" s="60"/>
      <c r="G24" s="60"/>
      <c r="H24" s="61">
        <f ca="1">IFERROR(__xludf.DUMMYFUNCTION("MAX(IF(REGEXMATCH(E24,""^\d{1,2},\d{2}$""),VALUE(E24),0),IF(REGEXMATCH(F24,""^\d{1,2},\d{2}$""),VALUE(F24),0),IF(REGEXMATCH(G24,""^\d{1,2},\d{2}$""),VALUE(G24),0))"),38.5)</f>
        <v>38.5</v>
      </c>
      <c r="I24" s="21"/>
      <c r="J24" s="22"/>
    </row>
    <row r="25" spans="1:10" ht="13.2" x14ac:dyDescent="0.25">
      <c r="A25" s="17"/>
      <c r="B25" s="28">
        <v>5</v>
      </c>
      <c r="C25" s="29" t="s">
        <v>694</v>
      </c>
      <c r="D25" s="30" t="s">
        <v>41</v>
      </c>
      <c r="E25" s="60" t="s">
        <v>695</v>
      </c>
      <c r="F25" s="60"/>
      <c r="G25" s="60"/>
      <c r="H25" s="61">
        <f ca="1">IFERROR(__xludf.DUMMYFUNCTION("MAX(IF(REGEXMATCH(E25,""^\d{1,2},\d{2}$""),VALUE(E25),0),IF(REGEXMATCH(F25,""^\d{1,2},\d{2}$""),VALUE(F25),0),IF(REGEXMATCH(G25,""^\d{1,2},\d{2}$""),VALUE(G25),0))"),35.77)</f>
        <v>35.770000000000003</v>
      </c>
      <c r="I25" s="21"/>
      <c r="J25" s="22"/>
    </row>
    <row r="26" spans="1:10" ht="13.2" x14ac:dyDescent="0.25">
      <c r="A26" s="17"/>
      <c r="B26" s="62" t="s">
        <v>18</v>
      </c>
      <c r="C26" s="36"/>
      <c r="D26" s="44" t="s">
        <v>163</v>
      </c>
      <c r="E26" s="38"/>
      <c r="F26" s="38"/>
      <c r="G26" s="38"/>
      <c r="H26" s="63"/>
      <c r="I26" s="21"/>
      <c r="J26" s="22"/>
    </row>
    <row r="27" spans="1:10" ht="13.2" x14ac:dyDescent="0.25">
      <c r="A27" s="17"/>
      <c r="B27" s="17"/>
      <c r="D27" s="18"/>
      <c r="E27" s="18"/>
      <c r="F27" s="18"/>
      <c r="G27" s="18"/>
      <c r="H27" s="58"/>
      <c r="I27" s="21"/>
      <c r="J27" s="22"/>
    </row>
    <row r="28" spans="1:10" ht="15.6" x14ac:dyDescent="0.25">
      <c r="A28" s="23">
        <v>4</v>
      </c>
      <c r="B28" s="97" t="s">
        <v>109</v>
      </c>
      <c r="C28" s="98"/>
      <c r="D28" s="98"/>
      <c r="E28" s="98"/>
      <c r="F28" s="98"/>
      <c r="G28" s="98"/>
      <c r="H28" s="59"/>
      <c r="I28" s="25">
        <f ca="1">IF(COUNTIFS(H29:H33,"&gt;0") &gt; 3, FLOOR((SUM(H29:H33)-MIN(H29,H30,H31,H32,H33))/4,0.0001), )</f>
        <v>40.72</v>
      </c>
      <c r="J28" s="26">
        <f ca="1">IF(I28=0,"",RANK(I28,$I$4:$I$224,))</f>
        <v>4</v>
      </c>
    </row>
    <row r="29" spans="1:10" ht="13.2" x14ac:dyDescent="0.25">
      <c r="A29" s="17"/>
      <c r="B29" s="28">
        <v>1</v>
      </c>
      <c r="C29" s="29" t="s">
        <v>696</v>
      </c>
      <c r="D29" s="30" t="s">
        <v>10</v>
      </c>
      <c r="E29" s="60" t="s">
        <v>697</v>
      </c>
      <c r="F29" s="60"/>
      <c r="G29" s="60"/>
      <c r="H29" s="61">
        <f ca="1">IFERROR(__xludf.DUMMYFUNCTION("MAX(IF(REGEXMATCH(E29,""^\d{1,2},\d{2}$""),VALUE(E29),0),IF(REGEXMATCH(F29,""^\d{1,2},\d{2}$""),VALUE(F29),0),IF(REGEXMATCH(G29,""^\d{1,2},\d{2}$""),VALUE(G29),0))"),37.75)</f>
        <v>37.75</v>
      </c>
      <c r="I29" s="21"/>
      <c r="J29" s="22"/>
    </row>
    <row r="30" spans="1:10" ht="13.2" x14ac:dyDescent="0.25">
      <c r="A30" s="17"/>
      <c r="B30" s="28">
        <v>2</v>
      </c>
      <c r="C30" s="29" t="s">
        <v>698</v>
      </c>
      <c r="D30" s="30" t="s">
        <v>10</v>
      </c>
      <c r="E30" s="60" t="s">
        <v>699</v>
      </c>
      <c r="F30" s="60"/>
      <c r="G30" s="60"/>
      <c r="H30" s="61">
        <f ca="1">IFERROR(__xludf.DUMMYFUNCTION("MAX(IF(REGEXMATCH(E30,""^\d{1,2},\d{2}$""),VALUE(E30),0),IF(REGEXMATCH(F30,""^\d{1,2},\d{2}$""),VALUE(F30),0),IF(REGEXMATCH(G30,""^\d{1,2},\d{2}$""),VALUE(G30),0))"),36.02)</f>
        <v>36.020000000000003</v>
      </c>
      <c r="I30" s="21"/>
      <c r="J30" s="22"/>
    </row>
    <row r="31" spans="1:10" ht="13.2" x14ac:dyDescent="0.25">
      <c r="A31" s="17"/>
      <c r="B31" s="28">
        <v>3</v>
      </c>
      <c r="C31" s="29" t="s">
        <v>700</v>
      </c>
      <c r="D31" s="30" t="s">
        <v>15</v>
      </c>
      <c r="E31" s="60" t="s">
        <v>701</v>
      </c>
      <c r="F31" s="60"/>
      <c r="G31" s="60"/>
      <c r="H31" s="61">
        <f ca="1">IFERROR(__xludf.DUMMYFUNCTION("MAX(IF(REGEXMATCH(E31,""^\d{1,2},\d{2}$""),VALUE(E31),0),IF(REGEXMATCH(F31,""^\d{1,2},\d{2}$""),VALUE(F31),0),IF(REGEXMATCH(G31,""^\d{1,2},\d{2}$""),VALUE(G31),0))"),40.05)</f>
        <v>40.049999999999997</v>
      </c>
      <c r="I31" s="21"/>
      <c r="J31" s="22"/>
    </row>
    <row r="32" spans="1:10" ht="13.2" x14ac:dyDescent="0.25">
      <c r="A32" s="17"/>
      <c r="B32" s="28">
        <v>4</v>
      </c>
      <c r="C32" s="29" t="s">
        <v>702</v>
      </c>
      <c r="D32" s="30" t="s">
        <v>10</v>
      </c>
      <c r="E32" s="60" t="s">
        <v>703</v>
      </c>
      <c r="F32" s="60"/>
      <c r="G32" s="60"/>
      <c r="H32" s="61">
        <f ca="1">IFERROR(__xludf.DUMMYFUNCTION("MAX(IF(REGEXMATCH(E32,""^\d{1,2},\d{2}$""),VALUE(E32),0),IF(REGEXMATCH(F32,""^\d{1,2},\d{2}$""),VALUE(F32),0),IF(REGEXMATCH(G32,""^\d{1,2},\d{2}$""),VALUE(G32),0))"),41.9)</f>
        <v>41.9</v>
      </c>
      <c r="I32" s="21"/>
      <c r="J32" s="22"/>
    </row>
    <row r="33" spans="1:10" ht="13.2" x14ac:dyDescent="0.25">
      <c r="A33" s="17"/>
      <c r="B33" s="28">
        <v>5</v>
      </c>
      <c r="C33" s="29" t="s">
        <v>704</v>
      </c>
      <c r="D33" s="30" t="s">
        <v>10</v>
      </c>
      <c r="E33" s="60" t="s">
        <v>705</v>
      </c>
      <c r="F33" s="60"/>
      <c r="G33" s="60"/>
      <c r="H33" s="61">
        <f ca="1">IFERROR(__xludf.DUMMYFUNCTION("MAX(IF(REGEXMATCH(E33,""^\d{1,2},\d{2}$""),VALUE(E33),0),IF(REGEXMATCH(F33,""^\d{1,2},\d{2}$""),VALUE(F33),0),IF(REGEXMATCH(G33,""^\d{1,2},\d{2}$""),VALUE(G33),0))"),43.18)</f>
        <v>43.18</v>
      </c>
      <c r="I33" s="21"/>
      <c r="J33" s="22"/>
    </row>
    <row r="34" spans="1:10" ht="13.2" x14ac:dyDescent="0.25">
      <c r="A34" s="17"/>
      <c r="B34" s="62" t="s">
        <v>18</v>
      </c>
      <c r="C34" s="36"/>
      <c r="D34" s="44" t="s">
        <v>125</v>
      </c>
      <c r="E34" s="38"/>
      <c r="F34" s="38"/>
      <c r="G34" s="38"/>
      <c r="H34" s="63"/>
      <c r="I34" s="21"/>
      <c r="J34" s="22"/>
    </row>
    <row r="35" spans="1:10" ht="13.2" x14ac:dyDescent="0.25">
      <c r="A35" s="17"/>
      <c r="B35" s="17"/>
      <c r="D35" s="18"/>
      <c r="E35" s="18"/>
      <c r="F35" s="18"/>
      <c r="G35" s="18"/>
      <c r="H35" s="58"/>
      <c r="I35" s="21"/>
      <c r="J35" s="22"/>
    </row>
    <row r="36" spans="1:10" ht="15.6" x14ac:dyDescent="0.25">
      <c r="A36" s="23">
        <v>5</v>
      </c>
      <c r="B36" s="97" t="s">
        <v>96</v>
      </c>
      <c r="C36" s="98"/>
      <c r="D36" s="98"/>
      <c r="E36" s="98"/>
      <c r="F36" s="98"/>
      <c r="G36" s="98"/>
      <c r="H36" s="59"/>
      <c r="I36" s="25">
        <f ca="1">IF(COUNTIFS(H37:H41,"&gt;0") &gt; 3, FLOOR((SUM(H37:H41)-MIN(H37,H38,H39,H40,H41))/4,0.0001), )</f>
        <v>40.18</v>
      </c>
      <c r="J36" s="26">
        <f ca="1">IF(I36=0,"",RANK(I36,$I$4:$I$224,))</f>
        <v>5</v>
      </c>
    </row>
    <row r="37" spans="1:10" ht="13.2" x14ac:dyDescent="0.25">
      <c r="A37" s="17"/>
      <c r="B37" s="28">
        <v>1</v>
      </c>
      <c r="C37" s="29" t="s">
        <v>706</v>
      </c>
      <c r="D37" s="30" t="s">
        <v>15</v>
      </c>
      <c r="E37" s="60" t="s">
        <v>707</v>
      </c>
      <c r="F37" s="60"/>
      <c r="G37" s="60"/>
      <c r="H37" s="61">
        <f ca="1">IFERROR(__xludf.DUMMYFUNCTION("MAX(IF(REGEXMATCH(E37,""^\d{1,2},\d{2}$""),VALUE(E37),0),IF(REGEXMATCH(F37,""^\d{1,2},\d{2}$""),VALUE(F37),0),IF(REGEXMATCH(G37,""^\d{1,2},\d{2}$""),VALUE(G37),0))"),37.85)</f>
        <v>37.85</v>
      </c>
      <c r="I37" s="21"/>
      <c r="J37" s="22"/>
    </row>
    <row r="38" spans="1:10" ht="13.2" x14ac:dyDescent="0.25">
      <c r="A38" s="17"/>
      <c r="B38" s="28">
        <v>2</v>
      </c>
      <c r="C38" s="29" t="s">
        <v>708</v>
      </c>
      <c r="D38" s="30" t="s">
        <v>15</v>
      </c>
      <c r="E38" s="60" t="s">
        <v>709</v>
      </c>
      <c r="F38" s="60"/>
      <c r="G38" s="60"/>
      <c r="H38" s="61">
        <f ca="1">IFERROR(__xludf.DUMMYFUNCTION("MAX(IF(REGEXMATCH(E38,""^\d{1,2},\d{2}$""),VALUE(E38),0),IF(REGEXMATCH(F38,""^\d{1,2},\d{2}$""),VALUE(F38),0),IF(REGEXMATCH(G38,""^\d{1,2},\d{2}$""),VALUE(G38),0))"),39)</f>
        <v>39</v>
      </c>
      <c r="I38" s="21"/>
      <c r="J38" s="22"/>
    </row>
    <row r="39" spans="1:10" ht="13.2" x14ac:dyDescent="0.25">
      <c r="A39" s="17"/>
      <c r="B39" s="28">
        <v>3</v>
      </c>
      <c r="C39" s="29" t="s">
        <v>479</v>
      </c>
      <c r="D39" s="30" t="s">
        <v>10</v>
      </c>
      <c r="E39" s="60" t="s">
        <v>710</v>
      </c>
      <c r="F39" s="60"/>
      <c r="G39" s="60"/>
      <c r="H39" s="61">
        <f ca="1">IFERROR(__xludf.DUMMYFUNCTION("MAX(IF(REGEXMATCH(E39,""^\d{1,2},\d{2}$""),VALUE(E39),0),IF(REGEXMATCH(F39,""^\d{1,2},\d{2}$""),VALUE(F39),0),IF(REGEXMATCH(G39,""^\d{1,2},\d{2}$""),VALUE(G39),0))"),38)</f>
        <v>38</v>
      </c>
      <c r="I39" s="21"/>
      <c r="J39" s="22"/>
    </row>
    <row r="40" spans="1:10" ht="13.2" x14ac:dyDescent="0.25">
      <c r="A40" s="17"/>
      <c r="B40" s="28">
        <v>4</v>
      </c>
      <c r="C40" s="29" t="s">
        <v>657</v>
      </c>
      <c r="D40" s="30" t="s">
        <v>15</v>
      </c>
      <c r="E40" s="60" t="s">
        <v>711</v>
      </c>
      <c r="F40" s="60"/>
      <c r="G40" s="60"/>
      <c r="H40" s="61">
        <f ca="1">IFERROR(__xludf.DUMMYFUNCTION("MAX(IF(REGEXMATCH(E40,""^\d{1,2},\d{2}$""),VALUE(E40),0),IF(REGEXMATCH(F40,""^\d{1,2},\d{2}$""),VALUE(F40),0),IF(REGEXMATCH(G40,""^\d{1,2},\d{2}$""),VALUE(G40),0))"),36.68)</f>
        <v>36.68</v>
      </c>
      <c r="I40" s="21"/>
      <c r="J40" s="22"/>
    </row>
    <row r="41" spans="1:10" ht="13.2" x14ac:dyDescent="0.25">
      <c r="A41" s="17"/>
      <c r="B41" s="28">
        <v>5</v>
      </c>
      <c r="C41" s="29" t="s">
        <v>712</v>
      </c>
      <c r="D41" s="30" t="s">
        <v>10</v>
      </c>
      <c r="E41" s="60" t="s">
        <v>713</v>
      </c>
      <c r="F41" s="60"/>
      <c r="G41" s="60"/>
      <c r="H41" s="61">
        <f ca="1">IFERROR(__xludf.DUMMYFUNCTION("MAX(IF(REGEXMATCH(E41,""^\d{1,2},\d{2}$""),VALUE(E41),0),IF(REGEXMATCH(F41,""^\d{1,2},\d{2}$""),VALUE(F41),0),IF(REGEXMATCH(G41,""^\d{1,2},\d{2}$""),VALUE(G41),0))"),45.87)</f>
        <v>45.87</v>
      </c>
      <c r="I41" s="21"/>
      <c r="J41" s="22"/>
    </row>
    <row r="42" spans="1:10" ht="13.2" x14ac:dyDescent="0.25">
      <c r="A42" s="17"/>
      <c r="B42" s="62" t="s">
        <v>18</v>
      </c>
      <c r="C42" s="36"/>
      <c r="D42" s="44" t="s">
        <v>254</v>
      </c>
      <c r="E42" s="38"/>
      <c r="F42" s="38"/>
      <c r="G42" s="38"/>
      <c r="H42" s="63"/>
      <c r="I42" s="21"/>
      <c r="J42" s="22"/>
    </row>
    <row r="43" spans="1:10" ht="13.2" x14ac:dyDescent="0.25">
      <c r="A43" s="17"/>
      <c r="B43" s="17"/>
      <c r="D43" s="18"/>
      <c r="E43" s="18"/>
      <c r="F43" s="18"/>
      <c r="G43" s="18"/>
      <c r="H43" s="58"/>
      <c r="I43" s="21"/>
      <c r="J43" s="22"/>
    </row>
    <row r="44" spans="1:10" ht="15.6" x14ac:dyDescent="0.25">
      <c r="A44" s="23">
        <v>6</v>
      </c>
      <c r="B44" s="97" t="s">
        <v>8</v>
      </c>
      <c r="C44" s="98"/>
      <c r="D44" s="98"/>
      <c r="E44" s="98"/>
      <c r="F44" s="98"/>
      <c r="G44" s="98"/>
      <c r="H44" s="59"/>
      <c r="I44" s="25">
        <f ca="1">IF(COUNTIFS(H45:H49,"&gt;0") &gt; 3, FLOOR((SUM(H45:H49)-MIN(H45,H46,H47,H48,H49))/4,0.0001), )</f>
        <v>39.734999999999999</v>
      </c>
      <c r="J44" s="26">
        <f ca="1">IF(I44=0,"",RANK(I44,$I$4:$I$224,))</f>
        <v>6</v>
      </c>
    </row>
    <row r="45" spans="1:10" ht="13.2" x14ac:dyDescent="0.25">
      <c r="A45" s="17"/>
      <c r="B45" s="28">
        <v>1</v>
      </c>
      <c r="C45" s="29" t="s">
        <v>714</v>
      </c>
      <c r="D45" s="30" t="s">
        <v>10</v>
      </c>
      <c r="E45" s="60" t="s">
        <v>715</v>
      </c>
      <c r="F45" s="60"/>
      <c r="G45" s="60"/>
      <c r="H45" s="61">
        <f ca="1">IFERROR(__xludf.DUMMYFUNCTION("MAX(IF(REGEXMATCH(E45,""^\d{1,2},\d{2}$""),VALUE(E45),0),IF(REGEXMATCH(F45,""^\d{1,2},\d{2}$""),VALUE(F45),0),IF(REGEXMATCH(G45,""^\d{1,2},\d{2}$""),VALUE(G45),0))"),36.07)</f>
        <v>36.07</v>
      </c>
      <c r="I45" s="21"/>
      <c r="J45" s="22"/>
    </row>
    <row r="46" spans="1:10" ht="13.2" x14ac:dyDescent="0.25">
      <c r="A46" s="17"/>
      <c r="B46" s="28">
        <v>2</v>
      </c>
      <c r="C46" s="29" t="s">
        <v>485</v>
      </c>
      <c r="D46" s="30" t="s">
        <v>10</v>
      </c>
      <c r="E46" s="60" t="s">
        <v>716</v>
      </c>
      <c r="F46" s="60"/>
      <c r="G46" s="60"/>
      <c r="H46" s="61">
        <f ca="1">IFERROR(__xludf.DUMMYFUNCTION("MAX(IF(REGEXMATCH(E46,""^\d{1,2},\d{2}$""),VALUE(E46),0),IF(REGEXMATCH(F46,""^\d{1,2},\d{2}$""),VALUE(F46),0),IF(REGEXMATCH(G46,""^\d{1,2},\d{2}$""),VALUE(G46),0))"),47.06)</f>
        <v>47.06</v>
      </c>
      <c r="I46" s="21"/>
      <c r="J46" s="22"/>
    </row>
    <row r="47" spans="1:10" ht="13.2" x14ac:dyDescent="0.25">
      <c r="A47" s="17"/>
      <c r="B47" s="28">
        <v>3</v>
      </c>
      <c r="C47" s="29" t="s">
        <v>633</v>
      </c>
      <c r="D47" s="30" t="s">
        <v>10</v>
      </c>
      <c r="E47" s="60" t="s">
        <v>717</v>
      </c>
      <c r="F47" s="60"/>
      <c r="G47" s="60"/>
      <c r="H47" s="61">
        <f ca="1">IFERROR(__xludf.DUMMYFUNCTION("MAX(IF(REGEXMATCH(E47,""^\d{1,2},\d{2}$""),VALUE(E47),0),IF(REGEXMATCH(F47,""^\d{1,2},\d{2}$""),VALUE(F47),0),IF(REGEXMATCH(G47,""^\d{1,2},\d{2}$""),VALUE(G47),0))"),37.09)</f>
        <v>37.090000000000003</v>
      </c>
      <c r="I47" s="21"/>
      <c r="J47" s="22"/>
    </row>
    <row r="48" spans="1:10" ht="13.2" x14ac:dyDescent="0.25">
      <c r="A48" s="17"/>
      <c r="B48" s="28">
        <v>4</v>
      </c>
      <c r="C48" s="29" t="s">
        <v>486</v>
      </c>
      <c r="D48" s="30" t="s">
        <v>10</v>
      </c>
      <c r="E48" s="60" t="s">
        <v>718</v>
      </c>
      <c r="F48" s="60"/>
      <c r="G48" s="60"/>
      <c r="H48" s="61">
        <f ca="1">IFERROR(__xludf.DUMMYFUNCTION("MAX(IF(REGEXMATCH(E48,""^\d{1,2},\d{2}$""),VALUE(E48),0),IF(REGEXMATCH(F48,""^\d{1,2},\d{2}$""),VALUE(F48),0),IF(REGEXMATCH(G48,""^\d{1,2},\d{2}$""),VALUE(G48),0))"),38.36)</f>
        <v>38.36</v>
      </c>
      <c r="I48" s="21"/>
      <c r="J48" s="22"/>
    </row>
    <row r="49" spans="1:10" ht="13.2" x14ac:dyDescent="0.25">
      <c r="A49" s="17"/>
      <c r="B49" s="28">
        <v>5</v>
      </c>
      <c r="C49" s="29" t="s">
        <v>639</v>
      </c>
      <c r="D49" s="30" t="s">
        <v>10</v>
      </c>
      <c r="E49" s="60" t="s">
        <v>719</v>
      </c>
      <c r="F49" s="60"/>
      <c r="G49" s="60"/>
      <c r="H49" s="61">
        <f ca="1">IFERROR(__xludf.DUMMYFUNCTION("MAX(IF(REGEXMATCH(E49,""^\d{1,2},\d{2}$""),VALUE(E49),0),IF(REGEXMATCH(F49,""^\d{1,2},\d{2}$""),VALUE(F49),0),IF(REGEXMATCH(G49,""^\d{1,2},\d{2}$""),VALUE(G49),0))"),36.43)</f>
        <v>36.43</v>
      </c>
      <c r="I49" s="21"/>
      <c r="J49" s="22"/>
    </row>
    <row r="50" spans="1:10" ht="13.2" x14ac:dyDescent="0.25">
      <c r="A50" s="17"/>
      <c r="B50" s="62" t="s">
        <v>18</v>
      </c>
      <c r="C50" s="36"/>
      <c r="D50" s="44" t="s">
        <v>19</v>
      </c>
      <c r="E50" s="38"/>
      <c r="F50" s="38"/>
      <c r="G50" s="38"/>
      <c r="H50" s="63"/>
      <c r="I50" s="21"/>
      <c r="J50" s="22"/>
    </row>
    <row r="51" spans="1:10" ht="13.2" x14ac:dyDescent="0.25">
      <c r="A51" s="17"/>
      <c r="B51" s="17"/>
      <c r="D51" s="18"/>
      <c r="E51" s="18"/>
      <c r="F51" s="18"/>
      <c r="G51" s="18"/>
      <c r="H51" s="58"/>
      <c r="I51" s="21"/>
      <c r="J51" s="22"/>
    </row>
    <row r="52" spans="1:10" ht="15.6" x14ac:dyDescent="0.25">
      <c r="A52" s="23">
        <v>7</v>
      </c>
      <c r="B52" s="97" t="s">
        <v>37</v>
      </c>
      <c r="C52" s="98"/>
      <c r="D52" s="98"/>
      <c r="E52" s="98"/>
      <c r="F52" s="98"/>
      <c r="G52" s="98"/>
      <c r="H52" s="59"/>
      <c r="I52" s="25">
        <f ca="1">IF(COUNTIFS(H53:H57,"&gt;0") &gt; 3, FLOOR((SUM(H53:H57)-MIN(H53,H54,H55,H56,H57))/4,0.0001), )</f>
        <v>39.077500000000001</v>
      </c>
      <c r="J52" s="26">
        <f ca="1">IF(I52=0,"",RANK(I52,$I$4:$I$224,))</f>
        <v>7</v>
      </c>
    </row>
    <row r="53" spans="1:10" ht="13.2" x14ac:dyDescent="0.25">
      <c r="A53" s="17"/>
      <c r="B53" s="28">
        <v>1</v>
      </c>
      <c r="C53" s="29" t="s">
        <v>662</v>
      </c>
      <c r="D53" s="30" t="s">
        <v>10</v>
      </c>
      <c r="E53" s="60" t="s">
        <v>720</v>
      </c>
      <c r="F53" s="60"/>
      <c r="G53" s="60"/>
      <c r="H53" s="61">
        <f ca="1">IFERROR(__xludf.DUMMYFUNCTION("MAX(IF(REGEXMATCH(E53,""^\d{1,2},\d{2}$""),VALUE(E53),0),IF(REGEXMATCH(F53,""^\d{1,2},\d{2}$""),VALUE(F53),0),IF(REGEXMATCH(G53,""^\d{1,2},\d{2}$""),VALUE(G53),0))"),45.46)</f>
        <v>45.46</v>
      </c>
      <c r="I53" s="21"/>
      <c r="J53" s="22"/>
    </row>
    <row r="54" spans="1:10" ht="13.2" x14ac:dyDescent="0.25">
      <c r="A54" s="17"/>
      <c r="B54" s="28">
        <v>2</v>
      </c>
      <c r="C54" s="29" t="s">
        <v>669</v>
      </c>
      <c r="D54" s="30" t="s">
        <v>10</v>
      </c>
      <c r="E54" s="60" t="s">
        <v>721</v>
      </c>
      <c r="F54" s="60"/>
      <c r="G54" s="60"/>
      <c r="H54" s="61">
        <f ca="1">IFERROR(__xludf.DUMMYFUNCTION("MAX(IF(REGEXMATCH(E54,""^\d{1,2},\d{2}$""),VALUE(E54),0),IF(REGEXMATCH(F54,""^\d{1,2},\d{2}$""),VALUE(F54),0),IF(REGEXMATCH(G54,""^\d{1,2},\d{2}$""),VALUE(G54),0))"),37.33)</f>
        <v>37.33</v>
      </c>
      <c r="I54" s="21"/>
      <c r="J54" s="22"/>
    </row>
    <row r="55" spans="1:10" ht="13.2" x14ac:dyDescent="0.25">
      <c r="A55" s="17"/>
      <c r="B55" s="28">
        <v>3</v>
      </c>
      <c r="C55" s="29" t="s">
        <v>493</v>
      </c>
      <c r="D55" s="30" t="s">
        <v>15</v>
      </c>
      <c r="E55" s="60" t="s">
        <v>722</v>
      </c>
      <c r="F55" s="60"/>
      <c r="G55" s="60"/>
      <c r="H55" s="61">
        <f ca="1">IFERROR(__xludf.DUMMYFUNCTION("MAX(IF(REGEXMATCH(E55,""^\d{1,2},\d{2}$""),VALUE(E55),0),IF(REGEXMATCH(F55,""^\d{1,2},\d{2}$""),VALUE(F55),0),IF(REGEXMATCH(G55,""^\d{1,2},\d{2}$""),VALUE(G55),0))"),35.44)</f>
        <v>35.44</v>
      </c>
      <c r="I55" s="21"/>
      <c r="J55" s="22"/>
    </row>
    <row r="56" spans="1:10" ht="13.2" x14ac:dyDescent="0.25">
      <c r="A56" s="17"/>
      <c r="B56" s="28">
        <v>4</v>
      </c>
      <c r="C56" s="29" t="s">
        <v>495</v>
      </c>
      <c r="D56" s="30" t="s">
        <v>15</v>
      </c>
      <c r="E56" s="60" t="s">
        <v>723</v>
      </c>
      <c r="F56" s="60"/>
      <c r="G56" s="60"/>
      <c r="H56" s="61">
        <f ca="1">IFERROR(__xludf.DUMMYFUNCTION("MAX(IF(REGEXMATCH(E56,""^\d{1,2},\d{2}$""),VALUE(E56),0),IF(REGEXMATCH(F56,""^\d{1,2},\d{2}$""),VALUE(F56),0),IF(REGEXMATCH(G56,""^\d{1,2},\d{2}$""),VALUE(G56),0))"),32.53)</f>
        <v>32.53</v>
      </c>
      <c r="I56" s="21"/>
      <c r="J56" s="22"/>
    </row>
    <row r="57" spans="1:10" ht="13.2" x14ac:dyDescent="0.25">
      <c r="A57" s="17"/>
      <c r="B57" s="28">
        <v>5</v>
      </c>
      <c r="C57" s="29" t="s">
        <v>550</v>
      </c>
      <c r="D57" s="30" t="s">
        <v>41</v>
      </c>
      <c r="E57" s="60" t="s">
        <v>724</v>
      </c>
      <c r="F57" s="60"/>
      <c r="G57" s="60"/>
      <c r="H57" s="61">
        <f ca="1">IFERROR(__xludf.DUMMYFUNCTION("MAX(IF(REGEXMATCH(E57,""^\d{1,2},\d{2}$""),VALUE(E57),0),IF(REGEXMATCH(F57,""^\d{1,2},\d{2}$""),VALUE(F57),0),IF(REGEXMATCH(G57,""^\d{1,2},\d{2}$""),VALUE(G57),0))"),38.08)</f>
        <v>38.08</v>
      </c>
      <c r="I57" s="21"/>
      <c r="J57" s="22"/>
    </row>
    <row r="58" spans="1:10" ht="13.2" x14ac:dyDescent="0.25">
      <c r="A58" s="17"/>
      <c r="B58" s="62" t="s">
        <v>18</v>
      </c>
      <c r="C58" s="36"/>
      <c r="D58" s="44" t="s">
        <v>45</v>
      </c>
      <c r="E58" s="38"/>
      <c r="F58" s="38"/>
      <c r="G58" s="38"/>
      <c r="H58" s="63"/>
      <c r="I58" s="21"/>
      <c r="J58" s="22"/>
    </row>
    <row r="59" spans="1:10" ht="13.2" x14ac:dyDescent="0.25">
      <c r="A59" s="17"/>
      <c r="B59" s="17"/>
      <c r="D59" s="18"/>
      <c r="E59" s="18"/>
      <c r="F59" s="18"/>
      <c r="G59" s="18"/>
      <c r="H59" s="58"/>
      <c r="I59" s="21"/>
      <c r="J59" s="22"/>
    </row>
    <row r="60" spans="1:10" ht="15.6" x14ac:dyDescent="0.25">
      <c r="A60" s="23">
        <v>8</v>
      </c>
      <c r="B60" s="97" t="s">
        <v>180</v>
      </c>
      <c r="C60" s="98"/>
      <c r="D60" s="98"/>
      <c r="E60" s="98"/>
      <c r="F60" s="98"/>
      <c r="G60" s="98"/>
      <c r="H60" s="59"/>
      <c r="I60" s="25">
        <f ca="1">IF(COUNTIFS(H61:H65,"&gt;0") &gt; 3, FLOOR((SUM(H61:H65)-MIN(H61,H62,H63,H64,H65))/4,0.0001), )</f>
        <v>37.565000000000005</v>
      </c>
      <c r="J60" s="26">
        <f ca="1">IF(I60=0,"",RANK(I60,$I$4:$I$224,))</f>
        <v>8</v>
      </c>
    </row>
    <row r="61" spans="1:10" ht="13.2" x14ac:dyDescent="0.25">
      <c r="A61" s="17"/>
      <c r="B61" s="28">
        <v>1</v>
      </c>
      <c r="C61" s="29" t="s">
        <v>600</v>
      </c>
      <c r="D61" s="30" t="s">
        <v>10</v>
      </c>
      <c r="E61" s="60" t="s">
        <v>725</v>
      </c>
      <c r="F61" s="60"/>
      <c r="G61" s="60"/>
      <c r="H61" s="61">
        <f ca="1">IFERROR(__xludf.DUMMYFUNCTION("MAX(IF(REGEXMATCH(E61,""^\d{1,2},\d{2}$""),VALUE(E61),0),IF(REGEXMATCH(F61,""^\d{1,2},\d{2}$""),VALUE(F61),0),IF(REGEXMATCH(G61,""^\d{1,2},\d{2}$""),VALUE(G61),0))"),43.67)</f>
        <v>43.67</v>
      </c>
      <c r="I61" s="21"/>
      <c r="J61" s="22"/>
    </row>
    <row r="62" spans="1:10" ht="13.2" x14ac:dyDescent="0.25">
      <c r="A62" s="17"/>
      <c r="B62" s="28">
        <v>2</v>
      </c>
      <c r="C62" s="29" t="s">
        <v>603</v>
      </c>
      <c r="D62" s="30" t="s">
        <v>41</v>
      </c>
      <c r="E62" s="60" t="s">
        <v>726</v>
      </c>
      <c r="F62" s="60"/>
      <c r="G62" s="60"/>
      <c r="H62" s="61">
        <f ca="1">IFERROR(__xludf.DUMMYFUNCTION("MAX(IF(REGEXMATCH(E62,""^\d{1,2},\d{2}$""),VALUE(E62),0),IF(REGEXMATCH(F62,""^\d{1,2},\d{2}$""),VALUE(F62),0),IF(REGEXMATCH(G62,""^\d{1,2},\d{2}$""),VALUE(G62),0))"),27.73)</f>
        <v>27.73</v>
      </c>
      <c r="I62" s="21"/>
      <c r="J62" s="22"/>
    </row>
    <row r="63" spans="1:10" ht="13.2" x14ac:dyDescent="0.25">
      <c r="A63" s="17"/>
      <c r="B63" s="28">
        <v>3</v>
      </c>
      <c r="C63" s="29" t="s">
        <v>607</v>
      </c>
      <c r="D63" s="30" t="s">
        <v>41</v>
      </c>
      <c r="E63" s="60" t="s">
        <v>727</v>
      </c>
      <c r="F63" s="60"/>
      <c r="G63" s="60"/>
      <c r="H63" s="61">
        <f ca="1">IFERROR(__xludf.DUMMYFUNCTION("MAX(IF(REGEXMATCH(E63,""^\d{1,2},\d{2}$""),VALUE(E63),0),IF(REGEXMATCH(F63,""^\d{1,2},\d{2}$""),VALUE(F63),0),IF(REGEXMATCH(G63,""^\d{1,2},\d{2}$""),VALUE(G63),0))"),36.79)</f>
        <v>36.79</v>
      </c>
      <c r="I63" s="21"/>
      <c r="J63" s="22"/>
    </row>
    <row r="64" spans="1:10" ht="13.2" x14ac:dyDescent="0.25">
      <c r="A64" s="17"/>
      <c r="B64" s="28">
        <v>4</v>
      </c>
      <c r="C64" s="29" t="s">
        <v>610</v>
      </c>
      <c r="D64" s="30" t="s">
        <v>10</v>
      </c>
      <c r="E64" s="60" t="s">
        <v>728</v>
      </c>
      <c r="F64" s="60"/>
      <c r="G64" s="60"/>
      <c r="H64" s="61">
        <f ca="1">IFERROR(__xludf.DUMMYFUNCTION("MAX(IF(REGEXMATCH(E64,""^\d{1,2},\d{2}$""),VALUE(E64),0),IF(REGEXMATCH(F64,""^\d{1,2},\d{2}$""),VALUE(F64),0),IF(REGEXMATCH(G64,""^\d{1,2},\d{2}$""),VALUE(G64),0))"),42.07)</f>
        <v>42.07</v>
      </c>
      <c r="I64" s="21"/>
      <c r="J64" s="22"/>
    </row>
    <row r="65" spans="1:10" ht="13.2" x14ac:dyDescent="0.25">
      <c r="A65" s="17"/>
      <c r="B65" s="28">
        <v>5</v>
      </c>
      <c r="C65" s="29"/>
      <c r="D65" s="30"/>
      <c r="E65" s="60"/>
      <c r="F65" s="60"/>
      <c r="G65" s="60"/>
      <c r="H65" s="61">
        <f ca="1">IFERROR(__xludf.DUMMYFUNCTION("MAX(IF(REGEXMATCH(E65,""^\d{1,2},\d{2}$""),VALUE(E65),0),IF(REGEXMATCH(F65,""^\d{1,2},\d{2}$""),VALUE(F65),0),IF(REGEXMATCH(G65,""^\d{1,2},\d{2}$""),VALUE(G65),0))"),0)</f>
        <v>0</v>
      </c>
      <c r="I65" s="21"/>
      <c r="J65" s="22"/>
    </row>
    <row r="66" spans="1:10" ht="13.2" x14ac:dyDescent="0.25">
      <c r="A66" s="17"/>
      <c r="B66" s="62" t="s">
        <v>18</v>
      </c>
      <c r="C66" s="36"/>
      <c r="D66" s="44" t="s">
        <v>190</v>
      </c>
      <c r="E66" s="38"/>
      <c r="F66" s="38"/>
      <c r="G66" s="38"/>
      <c r="H66" s="63"/>
      <c r="I66" s="21"/>
      <c r="J66" s="22"/>
    </row>
    <row r="67" spans="1:10" ht="13.2" x14ac:dyDescent="0.25">
      <c r="A67" s="17"/>
      <c r="B67" s="17"/>
      <c r="D67" s="18"/>
      <c r="E67" s="18"/>
      <c r="F67" s="18"/>
      <c r="G67" s="18"/>
      <c r="H67" s="58"/>
      <c r="I67" s="21"/>
      <c r="J67" s="22"/>
    </row>
    <row r="68" spans="1:10" ht="15.6" x14ac:dyDescent="0.25">
      <c r="A68" s="23">
        <v>9</v>
      </c>
      <c r="B68" s="97" t="s">
        <v>78</v>
      </c>
      <c r="C68" s="98"/>
      <c r="D68" s="98"/>
      <c r="E68" s="98"/>
      <c r="F68" s="98"/>
      <c r="G68" s="98"/>
      <c r="H68" s="59"/>
      <c r="I68" s="25">
        <f ca="1">IF(COUNTIFS(H69:H73,"&gt;0") &gt; 3, FLOOR((SUM(H69:H73)-MIN(H69,H70,H71,H72,H73))/4,0.0001), )</f>
        <v>35.842500000000001</v>
      </c>
      <c r="J68" s="26">
        <f ca="1">IF(I68=0,"",RANK(I68,$I$4:$I$224,))</f>
        <v>9</v>
      </c>
    </row>
    <row r="69" spans="1:10" ht="13.2" x14ac:dyDescent="0.25">
      <c r="A69" s="17"/>
      <c r="B69" s="28">
        <v>1</v>
      </c>
      <c r="C69" s="29" t="s">
        <v>729</v>
      </c>
      <c r="D69" s="30" t="s">
        <v>10</v>
      </c>
      <c r="E69" s="60" t="s">
        <v>730</v>
      </c>
      <c r="F69" s="60"/>
      <c r="G69" s="60"/>
      <c r="H69" s="61">
        <f ca="1">IFERROR(__xludf.DUMMYFUNCTION("MAX(IF(REGEXMATCH(E69,""^\d{1,2},\d{2}$""),VALUE(E69),0),IF(REGEXMATCH(F69,""^\d{1,2},\d{2}$""),VALUE(F69),0),IF(REGEXMATCH(G69,""^\d{1,2},\d{2}$""),VALUE(G69),0))"),38.95)</f>
        <v>38.950000000000003</v>
      </c>
      <c r="I69" s="21"/>
      <c r="J69" s="22"/>
    </row>
    <row r="70" spans="1:10" ht="13.2" x14ac:dyDescent="0.25">
      <c r="A70" s="17"/>
      <c r="B70" s="28">
        <v>2</v>
      </c>
      <c r="C70" s="29" t="s">
        <v>731</v>
      </c>
      <c r="D70" s="30" t="s">
        <v>41</v>
      </c>
      <c r="E70" s="60" t="s">
        <v>732</v>
      </c>
      <c r="F70" s="60"/>
      <c r="G70" s="60"/>
      <c r="H70" s="61">
        <f ca="1">IFERROR(__xludf.DUMMYFUNCTION("MAX(IF(REGEXMATCH(E70,""^\d{1,2},\d{2}$""),VALUE(E70),0),IF(REGEXMATCH(F70,""^\d{1,2},\d{2}$""),VALUE(F70),0),IF(REGEXMATCH(G70,""^\d{1,2},\d{2}$""),VALUE(G70),0))"),30.62)</f>
        <v>30.62</v>
      </c>
      <c r="I70" s="21"/>
      <c r="J70" s="22"/>
    </row>
    <row r="71" spans="1:10" ht="13.2" x14ac:dyDescent="0.25">
      <c r="A71" s="17"/>
      <c r="B71" s="28">
        <v>3</v>
      </c>
      <c r="C71" s="29" t="s">
        <v>574</v>
      </c>
      <c r="D71" s="30" t="s">
        <v>41</v>
      </c>
      <c r="E71" s="60" t="s">
        <v>733</v>
      </c>
      <c r="F71" s="60"/>
      <c r="G71" s="60"/>
      <c r="H71" s="61">
        <f ca="1">IFERROR(__xludf.DUMMYFUNCTION("MAX(IF(REGEXMATCH(E71,""^\d{1,2},\d{2}$""),VALUE(E71),0),IF(REGEXMATCH(F71,""^\d{1,2},\d{2}$""),VALUE(F71),0),IF(REGEXMATCH(G71,""^\d{1,2},\d{2}$""),VALUE(G71),0))"),33.95)</f>
        <v>33.950000000000003</v>
      </c>
      <c r="I71" s="21"/>
      <c r="J71" s="22"/>
    </row>
    <row r="72" spans="1:10" ht="13.2" x14ac:dyDescent="0.25">
      <c r="A72" s="17"/>
      <c r="B72" s="28">
        <v>4</v>
      </c>
      <c r="C72" s="29" t="s">
        <v>577</v>
      </c>
      <c r="D72" s="30" t="s">
        <v>15</v>
      </c>
      <c r="E72" s="60" t="s">
        <v>734</v>
      </c>
      <c r="F72" s="60"/>
      <c r="G72" s="60"/>
      <c r="H72" s="61">
        <f ca="1">IFERROR(__xludf.DUMMYFUNCTION("MAX(IF(REGEXMATCH(E72,""^\d{1,2},\d{2}$""),VALUE(E72),0),IF(REGEXMATCH(F72,""^\d{1,2},\d{2}$""),VALUE(F72),0),IF(REGEXMATCH(G72,""^\d{1,2},\d{2}$""),VALUE(G72),0))"),36.38)</f>
        <v>36.380000000000003</v>
      </c>
      <c r="I72" s="21"/>
      <c r="J72" s="22"/>
    </row>
    <row r="73" spans="1:10" ht="13.2" x14ac:dyDescent="0.25">
      <c r="A73" s="17"/>
      <c r="B73" s="28">
        <v>5</v>
      </c>
      <c r="C73" s="29" t="s">
        <v>581</v>
      </c>
      <c r="D73" s="30" t="s">
        <v>10</v>
      </c>
      <c r="E73" s="60" t="s">
        <v>735</v>
      </c>
      <c r="F73" s="60"/>
      <c r="G73" s="60"/>
      <c r="H73" s="61">
        <f ca="1">IFERROR(__xludf.DUMMYFUNCTION("MAX(IF(REGEXMATCH(E73,""^\d{1,2},\d{2}$""),VALUE(E73),0),IF(REGEXMATCH(F73,""^\d{1,2},\d{2}$""),VALUE(F73),0),IF(REGEXMATCH(G73,""^\d{1,2},\d{2}$""),VALUE(G73),0))"),34.09)</f>
        <v>34.090000000000003</v>
      </c>
      <c r="I73" s="21"/>
      <c r="J73" s="22"/>
    </row>
    <row r="74" spans="1:10" ht="13.2" x14ac:dyDescent="0.25">
      <c r="A74" s="17"/>
      <c r="B74" s="62" t="s">
        <v>18</v>
      </c>
      <c r="C74" s="36"/>
      <c r="D74" s="44" t="s">
        <v>736</v>
      </c>
      <c r="E74" s="38"/>
      <c r="F74" s="38"/>
      <c r="G74" s="38"/>
      <c r="H74" s="63"/>
      <c r="I74" s="21"/>
      <c r="J74" s="22"/>
    </row>
    <row r="75" spans="1:10" ht="13.2" x14ac:dyDescent="0.25">
      <c r="A75" s="17"/>
      <c r="B75" s="17"/>
      <c r="D75" s="18"/>
      <c r="E75" s="18"/>
      <c r="F75" s="18"/>
      <c r="G75" s="18"/>
      <c r="H75" s="58"/>
      <c r="I75" s="21"/>
      <c r="J75" s="22"/>
    </row>
    <row r="76" spans="1:10" ht="15.6" x14ac:dyDescent="0.25">
      <c r="A76" s="23">
        <v>10</v>
      </c>
      <c r="B76" s="97" t="s">
        <v>589</v>
      </c>
      <c r="C76" s="98"/>
      <c r="D76" s="98"/>
      <c r="E76" s="98"/>
      <c r="F76" s="98"/>
      <c r="G76" s="98"/>
      <c r="H76" s="59"/>
      <c r="I76" s="25">
        <f ca="1">IF(COUNTIFS(H77:H81,"&gt;0") &gt; 3, FLOOR((SUM(H77:H81)-MIN(H77,H78,H79,H80,H81))/4,0.0001), )</f>
        <v>23.8</v>
      </c>
      <c r="J76" s="26">
        <f ca="1">IF(I76=0,"",RANK(I76,$I$4:$I$224,))</f>
        <v>10</v>
      </c>
    </row>
    <row r="77" spans="1:10" ht="13.2" x14ac:dyDescent="0.25">
      <c r="A77" s="17"/>
      <c r="B77" s="28">
        <v>1</v>
      </c>
      <c r="C77" s="29" t="s">
        <v>590</v>
      </c>
      <c r="D77" s="30" t="s">
        <v>371</v>
      </c>
      <c r="E77" s="60" t="s">
        <v>737</v>
      </c>
      <c r="F77" s="60"/>
      <c r="G77" s="60"/>
      <c r="H77" s="61">
        <f ca="1">IFERROR(__xludf.DUMMYFUNCTION("MAX(IF(REGEXMATCH(E77,""^\d{1,2},\d{2}$""),VALUE(E77),0),IF(REGEXMATCH(F77,""^\d{1,2},\d{2}$""),VALUE(F77),0),IF(REGEXMATCH(G77,""^\d{1,2},\d{2}$""),VALUE(G77),0))"),24.14)</f>
        <v>24.14</v>
      </c>
      <c r="I77" s="21"/>
      <c r="J77" s="22"/>
    </row>
    <row r="78" spans="1:10" ht="13.2" x14ac:dyDescent="0.25">
      <c r="A78" s="17"/>
      <c r="B78" s="28">
        <v>2</v>
      </c>
      <c r="C78" s="29" t="s">
        <v>593</v>
      </c>
      <c r="D78" s="30" t="s">
        <v>41</v>
      </c>
      <c r="E78" s="60" t="s">
        <v>738</v>
      </c>
      <c r="F78" s="60"/>
      <c r="G78" s="60"/>
      <c r="H78" s="61">
        <f ca="1">IFERROR(__xludf.DUMMYFUNCTION("MAX(IF(REGEXMATCH(E78,""^\d{1,2},\d{2}$""),VALUE(E78),0),IF(REGEXMATCH(F78,""^\d{1,2},\d{2}$""),VALUE(F78),0),IF(REGEXMATCH(G78,""^\d{1,2},\d{2}$""),VALUE(G78),0))"),28.42)</f>
        <v>28.42</v>
      </c>
      <c r="I78" s="21"/>
      <c r="J78" s="22"/>
    </row>
    <row r="79" spans="1:10" ht="13.2" x14ac:dyDescent="0.25">
      <c r="A79" s="17"/>
      <c r="B79" s="28">
        <v>3</v>
      </c>
      <c r="C79" s="29" t="s">
        <v>596</v>
      </c>
      <c r="D79" s="30" t="s">
        <v>41</v>
      </c>
      <c r="E79" s="60" t="s">
        <v>739</v>
      </c>
      <c r="F79" s="60"/>
      <c r="G79" s="60"/>
      <c r="H79" s="61">
        <f ca="1">IFERROR(__xludf.DUMMYFUNCTION("MAX(IF(REGEXMATCH(E79,""^\d{1,2},\d{2}$""),VALUE(E79),0),IF(REGEXMATCH(F79,""^\d{1,2},\d{2}$""),VALUE(F79),0),IF(REGEXMATCH(G79,""^\d{1,2},\d{2}$""),VALUE(G79),0))"),21.97)</f>
        <v>21.97</v>
      </c>
      <c r="I79" s="21"/>
      <c r="J79" s="22"/>
    </row>
    <row r="80" spans="1:10" ht="13.2" x14ac:dyDescent="0.25">
      <c r="A80" s="17"/>
      <c r="B80" s="28">
        <v>4</v>
      </c>
      <c r="C80" s="29" t="s">
        <v>740</v>
      </c>
      <c r="D80" s="30" t="s">
        <v>15</v>
      </c>
      <c r="E80" s="60" t="s">
        <v>741</v>
      </c>
      <c r="F80" s="60"/>
      <c r="G80" s="60"/>
      <c r="H80" s="61">
        <f ca="1">IFERROR(__xludf.DUMMYFUNCTION("MAX(IF(REGEXMATCH(E80,""^\d{1,2},\d{2}$""),VALUE(E80),0),IF(REGEXMATCH(F80,""^\d{1,2},\d{2}$""),VALUE(F80),0),IF(REGEXMATCH(G80,""^\d{1,2},\d{2}$""),VALUE(G80),0))"),20.67)</f>
        <v>20.67</v>
      </c>
      <c r="I80" s="21"/>
      <c r="J80" s="22"/>
    </row>
    <row r="81" spans="1:10" ht="13.2" x14ac:dyDescent="0.25">
      <c r="A81" s="17"/>
      <c r="B81" s="28">
        <v>5</v>
      </c>
      <c r="C81" s="29"/>
      <c r="D81" s="30"/>
      <c r="E81" s="60"/>
      <c r="F81" s="60"/>
      <c r="G81" s="60"/>
      <c r="H81" s="61">
        <f ca="1">IFERROR(__xludf.DUMMYFUNCTION("MAX(IF(REGEXMATCH(E81,""^\d{1,2},\d{2}$""),VALUE(E81),0),IF(REGEXMATCH(F81,""^\d{1,2},\d{2}$""),VALUE(F81),0),IF(REGEXMATCH(G81,""^\d{1,2},\d{2}$""),VALUE(G81),0))"),0)</f>
        <v>0</v>
      </c>
      <c r="I81" s="21"/>
      <c r="J81" s="22"/>
    </row>
    <row r="82" spans="1:10" ht="13.2" x14ac:dyDescent="0.25">
      <c r="A82" s="17"/>
      <c r="B82" s="62" t="s">
        <v>18</v>
      </c>
      <c r="C82" s="36"/>
      <c r="D82" s="44" t="s">
        <v>598</v>
      </c>
      <c r="E82" s="38"/>
      <c r="F82" s="38"/>
      <c r="G82" s="38"/>
      <c r="H82" s="63"/>
      <c r="I82" s="21"/>
      <c r="J82" s="22"/>
    </row>
    <row r="83" spans="1:10" ht="13.2" x14ac:dyDescent="0.25">
      <c r="A83" s="17"/>
      <c r="B83" s="17"/>
      <c r="D83" s="18"/>
      <c r="E83" s="18"/>
      <c r="F83" s="18"/>
      <c r="G83" s="18"/>
      <c r="H83" s="58"/>
      <c r="I83" s="21"/>
      <c r="J83" s="22"/>
    </row>
    <row r="84" spans="1:10" ht="15.6" x14ac:dyDescent="0.25">
      <c r="A84" s="23">
        <v>11</v>
      </c>
      <c r="B84" s="97"/>
      <c r="C84" s="98"/>
      <c r="D84" s="98"/>
      <c r="E84" s="98"/>
      <c r="F84" s="98"/>
      <c r="G84" s="98"/>
      <c r="H84" s="59"/>
      <c r="I84" s="25">
        <f ca="1">IF(COUNTIFS(H85:H89,"&gt;0") &gt; 3, FLOOR((SUM(H85:H89)-MIN(H85,H86,H87,H88,H89))/4,0.0001), )</f>
        <v>0</v>
      </c>
      <c r="J84" s="26" t="str">
        <f ca="1">IF(I84=0,"",RANK(I84,$I$4:$I$224,))</f>
        <v/>
      </c>
    </row>
    <row r="85" spans="1:10" ht="13.2" x14ac:dyDescent="0.25">
      <c r="A85" s="17"/>
      <c r="B85" s="28">
        <v>1</v>
      </c>
      <c r="C85" s="29"/>
      <c r="D85" s="30"/>
      <c r="E85" s="60"/>
      <c r="F85" s="60"/>
      <c r="G85" s="60"/>
      <c r="H85" s="61">
        <f ca="1">IFERROR(__xludf.DUMMYFUNCTION("MAX(IF(REGEXMATCH(E85,""^\d{1,2},\d{2}$""),VALUE(E85),0),IF(REGEXMATCH(F85,""^\d{1,2},\d{2}$""),VALUE(F85),0),IF(REGEXMATCH(G85,""^\d{1,2},\d{2}$""),VALUE(G85),0))"),0)</f>
        <v>0</v>
      </c>
      <c r="I85" s="21"/>
      <c r="J85" s="22"/>
    </row>
    <row r="86" spans="1:10" ht="13.2" x14ac:dyDescent="0.25">
      <c r="A86" s="17"/>
      <c r="B86" s="28">
        <v>2</v>
      </c>
      <c r="C86" s="29"/>
      <c r="D86" s="30"/>
      <c r="E86" s="60"/>
      <c r="F86" s="60"/>
      <c r="G86" s="60"/>
      <c r="H86" s="61">
        <f ca="1">IFERROR(__xludf.DUMMYFUNCTION("MAX(IF(REGEXMATCH(E86,""^\d{1,2},\d{2}$""),VALUE(E86),0),IF(REGEXMATCH(F86,""^\d{1,2},\d{2}$""),VALUE(F86),0),IF(REGEXMATCH(G86,""^\d{1,2},\d{2}$""),VALUE(G86),0))"),0)</f>
        <v>0</v>
      </c>
      <c r="I86" s="21"/>
      <c r="J86" s="22"/>
    </row>
    <row r="87" spans="1:10" ht="13.2" x14ac:dyDescent="0.25">
      <c r="A87" s="17"/>
      <c r="B87" s="28">
        <v>3</v>
      </c>
      <c r="C87" s="29"/>
      <c r="D87" s="30"/>
      <c r="E87" s="60"/>
      <c r="F87" s="60"/>
      <c r="G87" s="60"/>
      <c r="H87" s="61">
        <f ca="1">IFERROR(__xludf.DUMMYFUNCTION("MAX(IF(REGEXMATCH(E87,""^\d{1,2},\d{2}$""),VALUE(E87),0),IF(REGEXMATCH(F87,""^\d{1,2},\d{2}$""),VALUE(F87),0),IF(REGEXMATCH(G87,""^\d{1,2},\d{2}$""),VALUE(G87),0))"),0)</f>
        <v>0</v>
      </c>
      <c r="I87" s="21"/>
      <c r="J87" s="22"/>
    </row>
    <row r="88" spans="1:10" ht="13.2" x14ac:dyDescent="0.25">
      <c r="A88" s="17"/>
      <c r="B88" s="28">
        <v>4</v>
      </c>
      <c r="C88" s="29"/>
      <c r="D88" s="30"/>
      <c r="E88" s="60"/>
      <c r="F88" s="60"/>
      <c r="G88" s="60"/>
      <c r="H88" s="61">
        <f ca="1">IFERROR(__xludf.DUMMYFUNCTION("MAX(IF(REGEXMATCH(E88,""^\d{1,2},\d{2}$""),VALUE(E88),0),IF(REGEXMATCH(F88,""^\d{1,2},\d{2}$""),VALUE(F88),0),IF(REGEXMATCH(G88,""^\d{1,2},\d{2}$""),VALUE(G88),0))"),0)</f>
        <v>0</v>
      </c>
      <c r="I88" s="21"/>
      <c r="J88" s="22"/>
    </row>
    <row r="89" spans="1:10" ht="13.2" x14ac:dyDescent="0.25">
      <c r="A89" s="17"/>
      <c r="B89" s="28">
        <v>5</v>
      </c>
      <c r="C89" s="29"/>
      <c r="D89" s="30"/>
      <c r="E89" s="60"/>
      <c r="F89" s="60"/>
      <c r="G89" s="60"/>
      <c r="H89" s="61">
        <f ca="1">IFERROR(__xludf.DUMMYFUNCTION("MAX(IF(REGEXMATCH(E89,""^\d{1,2},\d{2}$""),VALUE(E89),0),IF(REGEXMATCH(F89,""^\d{1,2},\d{2}$""),VALUE(F89),0),IF(REGEXMATCH(G89,""^\d{1,2},\d{2}$""),VALUE(G89),0))"),0)</f>
        <v>0</v>
      </c>
      <c r="I89" s="21"/>
      <c r="J89" s="22"/>
    </row>
    <row r="90" spans="1:10" ht="13.2" x14ac:dyDescent="0.25">
      <c r="A90" s="17"/>
      <c r="B90" s="62" t="s">
        <v>18</v>
      </c>
      <c r="C90" s="36"/>
      <c r="D90" s="44"/>
      <c r="E90" s="38"/>
      <c r="F90" s="38"/>
      <c r="G90" s="38"/>
      <c r="H90" s="63"/>
      <c r="I90" s="21"/>
      <c r="J90" s="22"/>
    </row>
    <row r="91" spans="1:10" ht="13.2" x14ac:dyDescent="0.25">
      <c r="A91" s="17"/>
      <c r="B91" s="17"/>
      <c r="D91" s="18"/>
      <c r="E91" s="18"/>
      <c r="F91" s="18"/>
      <c r="G91" s="18"/>
      <c r="H91" s="58"/>
      <c r="I91" s="21"/>
      <c r="J91" s="22"/>
    </row>
    <row r="92" spans="1:10" ht="15.6" x14ac:dyDescent="0.25">
      <c r="A92" s="23">
        <v>12</v>
      </c>
      <c r="B92" s="97"/>
      <c r="C92" s="98"/>
      <c r="D92" s="98"/>
      <c r="E92" s="98"/>
      <c r="F92" s="98"/>
      <c r="G92" s="98"/>
      <c r="H92" s="59"/>
      <c r="I92" s="25">
        <f ca="1">IF(COUNTIFS(H93:H97,"&gt;0") &gt; 3, FLOOR((SUM(H93:H97)-MIN(H93,H94,H95,H96,H97))/4,0.0001), )</f>
        <v>0</v>
      </c>
      <c r="J92" s="26" t="str">
        <f ca="1">IF(I92=0,"",RANK(I92,$I$4:$I$224,))</f>
        <v/>
      </c>
    </row>
    <row r="93" spans="1:10" ht="13.2" x14ac:dyDescent="0.25">
      <c r="A93" s="17"/>
      <c r="B93" s="28">
        <v>1</v>
      </c>
      <c r="C93" s="29"/>
      <c r="D93" s="30"/>
      <c r="E93" s="60"/>
      <c r="F93" s="60"/>
      <c r="G93" s="60"/>
      <c r="H93" s="61">
        <f ca="1">IFERROR(__xludf.DUMMYFUNCTION("MAX(IF(REGEXMATCH(E93,""^\d{1,2},\d{2}$""),VALUE(E93),0),IF(REGEXMATCH(F93,""^\d{1,2},\d{2}$""),VALUE(F93),0),IF(REGEXMATCH(G93,""^\d{1,2},\d{2}$""),VALUE(G93),0))"),0)</f>
        <v>0</v>
      </c>
      <c r="I93" s="21"/>
      <c r="J93" s="22"/>
    </row>
    <row r="94" spans="1:10" ht="13.2" x14ac:dyDescent="0.25">
      <c r="A94" s="17"/>
      <c r="B94" s="28">
        <v>2</v>
      </c>
      <c r="C94" s="29"/>
      <c r="D94" s="30"/>
      <c r="E94" s="60"/>
      <c r="F94" s="60"/>
      <c r="G94" s="60"/>
      <c r="H94" s="61">
        <f ca="1">IFERROR(__xludf.DUMMYFUNCTION("MAX(IF(REGEXMATCH(E94,""^\d{1,2},\d{2}$""),VALUE(E94),0),IF(REGEXMATCH(F94,""^\d{1,2},\d{2}$""),VALUE(F94),0),IF(REGEXMATCH(G94,""^\d{1,2},\d{2}$""),VALUE(G94),0))"),0)</f>
        <v>0</v>
      </c>
      <c r="I94" s="21"/>
      <c r="J94" s="22"/>
    </row>
    <row r="95" spans="1:10" ht="13.2" x14ac:dyDescent="0.25">
      <c r="A95" s="17"/>
      <c r="B95" s="28">
        <v>3</v>
      </c>
      <c r="C95" s="29"/>
      <c r="D95" s="30"/>
      <c r="E95" s="60"/>
      <c r="F95" s="60"/>
      <c r="G95" s="60"/>
      <c r="H95" s="61">
        <f ca="1">IFERROR(__xludf.DUMMYFUNCTION("MAX(IF(REGEXMATCH(E95,""^\d{1,2},\d{2}$""),VALUE(E95),0),IF(REGEXMATCH(F95,""^\d{1,2},\d{2}$""),VALUE(F95),0),IF(REGEXMATCH(G95,""^\d{1,2},\d{2}$""),VALUE(G95),0))"),0)</f>
        <v>0</v>
      </c>
      <c r="I95" s="21"/>
      <c r="J95" s="22"/>
    </row>
    <row r="96" spans="1:10" ht="13.2" x14ac:dyDescent="0.25">
      <c r="A96" s="17"/>
      <c r="B96" s="28">
        <v>4</v>
      </c>
      <c r="C96" s="29"/>
      <c r="D96" s="30"/>
      <c r="E96" s="60"/>
      <c r="F96" s="60"/>
      <c r="G96" s="60"/>
      <c r="H96" s="61">
        <f ca="1">IFERROR(__xludf.DUMMYFUNCTION("MAX(IF(REGEXMATCH(E96,""^\d{1,2},\d{2}$""),VALUE(E96),0),IF(REGEXMATCH(F96,""^\d{1,2},\d{2}$""),VALUE(F96),0),IF(REGEXMATCH(G96,""^\d{1,2},\d{2}$""),VALUE(G96),0))"),0)</f>
        <v>0</v>
      </c>
      <c r="I96" s="21"/>
      <c r="J96" s="22"/>
    </row>
    <row r="97" spans="1:10" ht="13.2" x14ac:dyDescent="0.25">
      <c r="A97" s="17"/>
      <c r="B97" s="28">
        <v>5</v>
      </c>
      <c r="C97" s="29"/>
      <c r="D97" s="30"/>
      <c r="E97" s="60"/>
      <c r="F97" s="60"/>
      <c r="G97" s="60"/>
      <c r="H97" s="61">
        <f ca="1">IFERROR(__xludf.DUMMYFUNCTION("MAX(IF(REGEXMATCH(E97,""^\d{1,2},\d{2}$""),VALUE(E97),0),IF(REGEXMATCH(F97,""^\d{1,2},\d{2}$""),VALUE(F97),0),IF(REGEXMATCH(G97,""^\d{1,2},\d{2}$""),VALUE(G97),0))"),0)</f>
        <v>0</v>
      </c>
      <c r="I97" s="21"/>
      <c r="J97" s="22"/>
    </row>
    <row r="98" spans="1:10" ht="13.2" x14ac:dyDescent="0.25">
      <c r="A98" s="17"/>
      <c r="B98" s="62" t="s">
        <v>18</v>
      </c>
      <c r="C98" s="36"/>
      <c r="D98" s="44"/>
      <c r="E98" s="38"/>
      <c r="F98" s="38"/>
      <c r="G98" s="38"/>
      <c r="H98" s="63"/>
      <c r="I98" s="21"/>
      <c r="J98" s="22"/>
    </row>
    <row r="99" spans="1:10" ht="13.2" x14ac:dyDescent="0.25">
      <c r="A99" s="17"/>
      <c r="B99" s="17"/>
      <c r="D99" s="18"/>
      <c r="E99" s="18"/>
      <c r="F99" s="18"/>
      <c r="G99" s="18"/>
      <c r="H99" s="58"/>
      <c r="I99" s="21"/>
      <c r="J99" s="22"/>
    </row>
    <row r="100" spans="1:10" ht="15.6" x14ac:dyDescent="0.25">
      <c r="A100" s="23">
        <v>13</v>
      </c>
      <c r="B100" s="97"/>
      <c r="C100" s="98"/>
      <c r="D100" s="98"/>
      <c r="E100" s="98"/>
      <c r="F100" s="98"/>
      <c r="G100" s="98"/>
      <c r="H100" s="59"/>
      <c r="I100" s="25">
        <f ca="1">IF(COUNTIFS(H101:H105,"&gt;0") &gt; 3, FLOOR((SUM(H101:H105)-MIN(H101,H102,H103,H104,H105))/4,0.0001), )</f>
        <v>0</v>
      </c>
      <c r="J100" s="26" t="str">
        <f ca="1">IF(I100=0,"",RANK(I100,$I$4:$I$224,))</f>
        <v/>
      </c>
    </row>
    <row r="101" spans="1:10" ht="13.2" x14ac:dyDescent="0.25">
      <c r="A101" s="17"/>
      <c r="B101" s="28">
        <v>1</v>
      </c>
      <c r="C101" s="29"/>
      <c r="D101" s="30"/>
      <c r="E101" s="60"/>
      <c r="F101" s="60"/>
      <c r="G101" s="60"/>
      <c r="H101" s="61">
        <f ca="1">IFERROR(__xludf.DUMMYFUNCTION("MAX(IF(REGEXMATCH(E101,""^\d{1,2},\d{2}$""),VALUE(E101),0),IF(REGEXMATCH(F101,""^\d{1,2},\d{2}$""),VALUE(F101),0),IF(REGEXMATCH(G101,""^\d{1,2},\d{2}$""),VALUE(G101),0))"),0)</f>
        <v>0</v>
      </c>
      <c r="I101" s="21"/>
      <c r="J101" s="22"/>
    </row>
    <row r="102" spans="1:10" ht="13.2" x14ac:dyDescent="0.25">
      <c r="A102" s="17"/>
      <c r="B102" s="28">
        <v>2</v>
      </c>
      <c r="C102" s="29"/>
      <c r="D102" s="30"/>
      <c r="E102" s="60"/>
      <c r="F102" s="60"/>
      <c r="G102" s="60"/>
      <c r="H102" s="61">
        <f ca="1">IFERROR(__xludf.DUMMYFUNCTION("MAX(IF(REGEXMATCH(E102,""^\d{1,2},\d{2}$""),VALUE(E102),0),IF(REGEXMATCH(F102,""^\d{1,2},\d{2}$""),VALUE(F102),0),IF(REGEXMATCH(G102,""^\d{1,2},\d{2}$""),VALUE(G102),0))"),0)</f>
        <v>0</v>
      </c>
      <c r="I102" s="21"/>
      <c r="J102" s="22"/>
    </row>
    <row r="103" spans="1:10" ht="13.2" x14ac:dyDescent="0.25">
      <c r="A103" s="17"/>
      <c r="B103" s="28">
        <v>3</v>
      </c>
      <c r="C103" s="29"/>
      <c r="D103" s="30"/>
      <c r="E103" s="60"/>
      <c r="F103" s="60"/>
      <c r="G103" s="60"/>
      <c r="H103" s="61">
        <f ca="1">IFERROR(__xludf.DUMMYFUNCTION("MAX(IF(REGEXMATCH(E103,""^\d{1,2},\d{2}$""),VALUE(E103),0),IF(REGEXMATCH(F103,""^\d{1,2},\d{2}$""),VALUE(F103),0),IF(REGEXMATCH(G103,""^\d{1,2},\d{2}$""),VALUE(G103),0))"),0)</f>
        <v>0</v>
      </c>
      <c r="I103" s="21"/>
      <c r="J103" s="22"/>
    </row>
    <row r="104" spans="1:10" ht="13.2" x14ac:dyDescent="0.25">
      <c r="A104" s="17"/>
      <c r="B104" s="28">
        <v>4</v>
      </c>
      <c r="C104" s="29"/>
      <c r="D104" s="30"/>
      <c r="E104" s="60"/>
      <c r="F104" s="60"/>
      <c r="G104" s="60"/>
      <c r="H104" s="61">
        <f ca="1">IFERROR(__xludf.DUMMYFUNCTION("MAX(IF(REGEXMATCH(E104,""^\d{1,2},\d{2}$""),VALUE(E104),0),IF(REGEXMATCH(F104,""^\d{1,2},\d{2}$""),VALUE(F104),0),IF(REGEXMATCH(G104,""^\d{1,2},\d{2}$""),VALUE(G104),0))"),0)</f>
        <v>0</v>
      </c>
      <c r="I104" s="21"/>
      <c r="J104" s="22"/>
    </row>
    <row r="105" spans="1:10" ht="13.2" x14ac:dyDescent="0.25">
      <c r="A105" s="17"/>
      <c r="B105" s="28">
        <v>5</v>
      </c>
      <c r="C105" s="29"/>
      <c r="D105" s="30"/>
      <c r="E105" s="60"/>
      <c r="F105" s="60"/>
      <c r="G105" s="60"/>
      <c r="H105" s="61">
        <f ca="1">IFERROR(__xludf.DUMMYFUNCTION("MAX(IF(REGEXMATCH(E105,""^\d{1,2},\d{2}$""),VALUE(E105),0),IF(REGEXMATCH(F105,""^\d{1,2},\d{2}$""),VALUE(F105),0),IF(REGEXMATCH(G105,""^\d{1,2},\d{2}$""),VALUE(G105),0))"),0)</f>
        <v>0</v>
      </c>
      <c r="I105" s="21"/>
      <c r="J105" s="22"/>
    </row>
    <row r="106" spans="1:10" ht="13.2" x14ac:dyDescent="0.25">
      <c r="A106" s="17"/>
      <c r="B106" s="17"/>
      <c r="D106" s="18"/>
      <c r="E106" s="18"/>
      <c r="F106" s="18"/>
      <c r="G106" s="18"/>
      <c r="H106" s="58"/>
      <c r="I106" s="21"/>
      <c r="J106" s="22"/>
    </row>
    <row r="107" spans="1:10" ht="13.2" x14ac:dyDescent="0.25">
      <c r="A107" s="17"/>
      <c r="B107" s="17"/>
      <c r="D107" s="18"/>
      <c r="E107" s="18"/>
      <c r="F107" s="18"/>
      <c r="G107" s="18"/>
      <c r="H107" s="58"/>
      <c r="I107" s="21"/>
      <c r="J107" s="22"/>
    </row>
    <row r="108" spans="1:10" ht="15.6" x14ac:dyDescent="0.25">
      <c r="A108" s="23">
        <v>14</v>
      </c>
      <c r="B108" s="97"/>
      <c r="C108" s="98"/>
      <c r="D108" s="98"/>
      <c r="E108" s="98"/>
      <c r="F108" s="98"/>
      <c r="G108" s="98"/>
      <c r="H108" s="59"/>
      <c r="I108" s="25">
        <f ca="1">IF(COUNTIFS(H109:H113,"&gt;0") &gt; 3, FLOOR((SUM(H109:H113)-MIN(H109,H110,H111,H112,H113))/4,0.0001), )</f>
        <v>0</v>
      </c>
      <c r="J108" s="26" t="str">
        <f ca="1">IF(I108=0,"",RANK(I108,$I$4:$I$224,))</f>
        <v/>
      </c>
    </row>
    <row r="109" spans="1:10" ht="13.2" x14ac:dyDescent="0.25">
      <c r="A109" s="17"/>
      <c r="B109" s="28">
        <v>1</v>
      </c>
      <c r="C109" s="29"/>
      <c r="D109" s="30"/>
      <c r="E109" s="60"/>
      <c r="F109" s="60"/>
      <c r="G109" s="60"/>
      <c r="H109" s="61">
        <f ca="1">IFERROR(__xludf.DUMMYFUNCTION("MAX(IF(REGEXMATCH(E109,""^\d{1,2},\d{2}$""),VALUE(E109),0),IF(REGEXMATCH(F109,""^\d{1,2},\d{2}$""),VALUE(F109),0),IF(REGEXMATCH(G109,""^\d{1,2},\d{2}$""),VALUE(G109),0))"),0)</f>
        <v>0</v>
      </c>
      <c r="I109" s="21"/>
      <c r="J109" s="22"/>
    </row>
    <row r="110" spans="1:10" ht="13.2" x14ac:dyDescent="0.25">
      <c r="A110" s="17"/>
      <c r="B110" s="28">
        <v>2</v>
      </c>
      <c r="C110" s="29"/>
      <c r="D110" s="30"/>
      <c r="E110" s="60"/>
      <c r="F110" s="60"/>
      <c r="G110" s="60"/>
      <c r="H110" s="61">
        <f ca="1">IFERROR(__xludf.DUMMYFUNCTION("MAX(IF(REGEXMATCH(E110,""^\d{1,2},\d{2}$""),VALUE(E110),0),IF(REGEXMATCH(F110,""^\d{1,2},\d{2}$""),VALUE(F110),0),IF(REGEXMATCH(G110,""^\d{1,2},\d{2}$""),VALUE(G110),0))"),0)</f>
        <v>0</v>
      </c>
      <c r="I110" s="21"/>
      <c r="J110" s="22"/>
    </row>
    <row r="111" spans="1:10" ht="13.2" x14ac:dyDescent="0.25">
      <c r="A111" s="17"/>
      <c r="B111" s="28">
        <v>3</v>
      </c>
      <c r="C111" s="29"/>
      <c r="D111" s="30"/>
      <c r="E111" s="60"/>
      <c r="F111" s="60"/>
      <c r="G111" s="60"/>
      <c r="H111" s="61">
        <f ca="1">IFERROR(__xludf.DUMMYFUNCTION("MAX(IF(REGEXMATCH(E111,""^\d{1,2},\d{2}$""),VALUE(E111),0),IF(REGEXMATCH(F111,""^\d{1,2},\d{2}$""),VALUE(F111),0),IF(REGEXMATCH(G111,""^\d{1,2},\d{2}$""),VALUE(G111),0))"),0)</f>
        <v>0</v>
      </c>
      <c r="I111" s="21"/>
      <c r="J111" s="22"/>
    </row>
    <row r="112" spans="1:10" ht="13.2" x14ac:dyDescent="0.25">
      <c r="A112" s="17"/>
      <c r="B112" s="28">
        <v>4</v>
      </c>
      <c r="C112" s="29"/>
      <c r="D112" s="30"/>
      <c r="E112" s="60"/>
      <c r="F112" s="60"/>
      <c r="G112" s="60"/>
      <c r="H112" s="61">
        <f ca="1">IFERROR(__xludf.DUMMYFUNCTION("MAX(IF(REGEXMATCH(E112,""^\d{1,2},\d{2}$""),VALUE(E112),0),IF(REGEXMATCH(F112,""^\d{1,2},\d{2}$""),VALUE(F112),0),IF(REGEXMATCH(G112,""^\d{1,2},\d{2}$""),VALUE(G112),0))"),0)</f>
        <v>0</v>
      </c>
      <c r="I112" s="21"/>
      <c r="J112" s="22"/>
    </row>
    <row r="113" spans="1:10" ht="13.2" x14ac:dyDescent="0.25">
      <c r="A113" s="17"/>
      <c r="B113" s="28">
        <v>5</v>
      </c>
      <c r="C113" s="29"/>
      <c r="D113" s="30"/>
      <c r="E113" s="60"/>
      <c r="F113" s="60"/>
      <c r="G113" s="60"/>
      <c r="H113" s="61">
        <f ca="1">IFERROR(__xludf.DUMMYFUNCTION("MAX(IF(REGEXMATCH(E113,""^\d{1,2},\d{2}$""),VALUE(E113),0),IF(REGEXMATCH(F113,""^\d{1,2},\d{2}$""),VALUE(F113),0),IF(REGEXMATCH(G113,""^\d{1,2},\d{2}$""),VALUE(G113),0))"),0)</f>
        <v>0</v>
      </c>
      <c r="I113" s="21"/>
      <c r="J113" s="22"/>
    </row>
    <row r="114" spans="1:10" ht="13.2" x14ac:dyDescent="0.25">
      <c r="A114" s="17"/>
      <c r="B114" s="62" t="s">
        <v>18</v>
      </c>
      <c r="C114" s="36"/>
      <c r="D114" s="44"/>
      <c r="E114" s="38"/>
      <c r="F114" s="38"/>
      <c r="G114" s="38"/>
      <c r="H114" s="63"/>
      <c r="I114" s="21"/>
      <c r="J114" s="22"/>
    </row>
    <row r="115" spans="1:10" ht="13.2" x14ac:dyDescent="0.25">
      <c r="A115" s="17"/>
      <c r="B115" s="17"/>
      <c r="D115" s="18"/>
      <c r="E115" s="18"/>
      <c r="F115" s="18"/>
      <c r="G115" s="18"/>
      <c r="H115" s="58"/>
      <c r="I115" s="21"/>
      <c r="J115" s="22"/>
    </row>
    <row r="116" spans="1:10" ht="15.6" x14ac:dyDescent="0.25">
      <c r="A116" s="23">
        <v>15</v>
      </c>
      <c r="B116" s="97"/>
      <c r="C116" s="98"/>
      <c r="D116" s="98"/>
      <c r="E116" s="98"/>
      <c r="F116" s="98"/>
      <c r="G116" s="98"/>
      <c r="H116" s="59"/>
      <c r="I116" s="25">
        <f ca="1">IF(COUNTIFS(H117:H121,"&gt;0") &gt; 3, FLOOR((SUM(H117:H121)-MIN(H117,H118,H119,H120,H121))/4,0.0001), )</f>
        <v>0</v>
      </c>
      <c r="J116" s="26" t="str">
        <f ca="1">IF(I116=0,"",RANK(I116,$I$4:$I$224,))</f>
        <v/>
      </c>
    </row>
    <row r="117" spans="1:10" ht="13.2" x14ac:dyDescent="0.25">
      <c r="A117" s="17"/>
      <c r="B117" s="28">
        <v>1</v>
      </c>
      <c r="C117" s="29"/>
      <c r="D117" s="30"/>
      <c r="E117" s="60"/>
      <c r="F117" s="60"/>
      <c r="G117" s="60"/>
      <c r="H117" s="61">
        <f ca="1">IFERROR(__xludf.DUMMYFUNCTION("MAX(IF(REGEXMATCH(E117,""^\d{1,2},\d{2}$""),VALUE(E117),0),IF(REGEXMATCH(F117,""^\d{1,2},\d{2}$""),VALUE(F117),0),IF(REGEXMATCH(G117,""^\d{1,2},\d{2}$""),VALUE(G117),0))"),0)</f>
        <v>0</v>
      </c>
      <c r="I117" s="21"/>
      <c r="J117" s="22"/>
    </row>
    <row r="118" spans="1:10" ht="13.2" x14ac:dyDescent="0.25">
      <c r="A118" s="17"/>
      <c r="B118" s="28">
        <v>2</v>
      </c>
      <c r="C118" s="29"/>
      <c r="D118" s="30"/>
      <c r="E118" s="60"/>
      <c r="F118" s="60"/>
      <c r="G118" s="60"/>
      <c r="H118" s="61">
        <f ca="1">IFERROR(__xludf.DUMMYFUNCTION("MAX(IF(REGEXMATCH(E118,""^\d{1,2},\d{2}$""),VALUE(E118),0),IF(REGEXMATCH(F118,""^\d{1,2},\d{2}$""),VALUE(F118),0),IF(REGEXMATCH(G118,""^\d{1,2},\d{2}$""),VALUE(G118),0))"),0)</f>
        <v>0</v>
      </c>
      <c r="I118" s="21"/>
      <c r="J118" s="22"/>
    </row>
    <row r="119" spans="1:10" ht="13.2" x14ac:dyDescent="0.25">
      <c r="A119" s="17"/>
      <c r="B119" s="28">
        <v>3</v>
      </c>
      <c r="C119" s="29"/>
      <c r="D119" s="30"/>
      <c r="E119" s="60"/>
      <c r="F119" s="60"/>
      <c r="G119" s="60"/>
      <c r="H119" s="61">
        <f ca="1">IFERROR(__xludf.DUMMYFUNCTION("MAX(IF(REGEXMATCH(E119,""^\d{1,2},\d{2}$""),VALUE(E119),0),IF(REGEXMATCH(F119,""^\d{1,2},\d{2}$""),VALUE(F119),0),IF(REGEXMATCH(G119,""^\d{1,2},\d{2}$""),VALUE(G119),0))"),0)</f>
        <v>0</v>
      </c>
      <c r="I119" s="21"/>
      <c r="J119" s="22"/>
    </row>
    <row r="120" spans="1:10" ht="13.2" x14ac:dyDescent="0.25">
      <c r="A120" s="17"/>
      <c r="B120" s="28">
        <v>4</v>
      </c>
      <c r="C120" s="29"/>
      <c r="D120" s="30"/>
      <c r="E120" s="60"/>
      <c r="F120" s="60"/>
      <c r="G120" s="60"/>
      <c r="H120" s="61">
        <f ca="1">IFERROR(__xludf.DUMMYFUNCTION("MAX(IF(REGEXMATCH(E120,""^\d{1,2},\d{2}$""),VALUE(E120),0),IF(REGEXMATCH(F120,""^\d{1,2},\d{2}$""),VALUE(F120),0),IF(REGEXMATCH(G120,""^\d{1,2},\d{2}$""),VALUE(G120),0))"),0)</f>
        <v>0</v>
      </c>
      <c r="I120" s="21"/>
      <c r="J120" s="22"/>
    </row>
    <row r="121" spans="1:10" ht="13.2" x14ac:dyDescent="0.25">
      <c r="A121" s="17"/>
      <c r="B121" s="28">
        <v>5</v>
      </c>
      <c r="C121" s="29"/>
      <c r="D121" s="30"/>
      <c r="E121" s="60"/>
      <c r="F121" s="60"/>
      <c r="G121" s="60"/>
      <c r="H121" s="61">
        <f ca="1">IFERROR(__xludf.DUMMYFUNCTION("MAX(IF(REGEXMATCH(E121,""^\d{1,2},\d{2}$""),VALUE(E121),0),IF(REGEXMATCH(F121,""^\d{1,2},\d{2}$""),VALUE(F121),0),IF(REGEXMATCH(G121,""^\d{1,2},\d{2}$""),VALUE(G121),0))"),0)</f>
        <v>0</v>
      </c>
      <c r="I121" s="21"/>
      <c r="J121" s="22"/>
    </row>
    <row r="122" spans="1:10" ht="13.2" x14ac:dyDescent="0.25">
      <c r="A122" s="17"/>
      <c r="B122" s="62" t="s">
        <v>18</v>
      </c>
      <c r="C122" s="36"/>
      <c r="D122" s="44"/>
      <c r="E122" s="38"/>
      <c r="F122" s="38"/>
      <c r="G122" s="38"/>
      <c r="H122" s="63"/>
      <c r="I122" s="21"/>
      <c r="J122" s="22"/>
    </row>
    <row r="123" spans="1:10" ht="13.2" x14ac:dyDescent="0.25">
      <c r="A123" s="17"/>
      <c r="B123" s="17"/>
      <c r="D123" s="18"/>
      <c r="E123" s="18"/>
      <c r="F123" s="18"/>
      <c r="G123" s="18"/>
      <c r="H123" s="58"/>
      <c r="I123" s="21"/>
      <c r="J123" s="22"/>
    </row>
    <row r="124" spans="1:10" ht="15.6" x14ac:dyDescent="0.25">
      <c r="A124" s="23">
        <v>16</v>
      </c>
      <c r="B124" s="97"/>
      <c r="C124" s="98"/>
      <c r="D124" s="98"/>
      <c r="E124" s="98"/>
      <c r="F124" s="98"/>
      <c r="G124" s="98"/>
      <c r="H124" s="59"/>
      <c r="I124" s="25">
        <f ca="1">IF(COUNTIFS(H125:H129,"&gt;0") &gt; 3, FLOOR((SUM(H125:H129)-MIN(H125,H126,H127,H128,H129))/4,0.0001), )</f>
        <v>0</v>
      </c>
      <c r="J124" s="26" t="str">
        <f ca="1">IF(I124=0,"",RANK(I124,$I$4:$I$224,))</f>
        <v/>
      </c>
    </row>
    <row r="125" spans="1:10" ht="13.2" x14ac:dyDescent="0.25">
      <c r="A125" s="17"/>
      <c r="B125" s="28">
        <v>1</v>
      </c>
      <c r="C125" s="29"/>
      <c r="D125" s="30"/>
      <c r="E125" s="60"/>
      <c r="F125" s="60"/>
      <c r="G125" s="60"/>
      <c r="H125" s="61">
        <f ca="1">IFERROR(__xludf.DUMMYFUNCTION("MAX(IF(REGEXMATCH(E125,""^\d{1,2},\d{2}$""),VALUE(E125),0),IF(REGEXMATCH(F125,""^\d{1,2},\d{2}$""),VALUE(F125),0),IF(REGEXMATCH(G125,""^\d{1,2},\d{2}$""),VALUE(G125),0))"),0)</f>
        <v>0</v>
      </c>
      <c r="I125" s="21"/>
      <c r="J125" s="22"/>
    </row>
    <row r="126" spans="1:10" ht="13.2" x14ac:dyDescent="0.25">
      <c r="A126" s="17"/>
      <c r="B126" s="28">
        <v>2</v>
      </c>
      <c r="C126" s="29"/>
      <c r="D126" s="30"/>
      <c r="E126" s="60"/>
      <c r="F126" s="60"/>
      <c r="G126" s="60"/>
      <c r="H126" s="61">
        <f ca="1">IFERROR(__xludf.DUMMYFUNCTION("MAX(IF(REGEXMATCH(E126,""^\d{1,2},\d{2}$""),VALUE(E126),0),IF(REGEXMATCH(F126,""^\d{1,2},\d{2}$""),VALUE(F126),0),IF(REGEXMATCH(G126,""^\d{1,2},\d{2}$""),VALUE(G126),0))"),0)</f>
        <v>0</v>
      </c>
      <c r="I126" s="21"/>
      <c r="J126" s="22"/>
    </row>
    <row r="127" spans="1:10" ht="13.2" x14ac:dyDescent="0.25">
      <c r="A127" s="17"/>
      <c r="B127" s="28">
        <v>3</v>
      </c>
      <c r="C127" s="29"/>
      <c r="D127" s="30"/>
      <c r="E127" s="60"/>
      <c r="F127" s="60"/>
      <c r="G127" s="60"/>
      <c r="H127" s="61">
        <f ca="1">IFERROR(__xludf.DUMMYFUNCTION("MAX(IF(REGEXMATCH(E127,""^\d{1,2},\d{2}$""),VALUE(E127),0),IF(REGEXMATCH(F127,""^\d{1,2},\d{2}$""),VALUE(F127),0),IF(REGEXMATCH(G127,""^\d{1,2},\d{2}$""),VALUE(G127),0))"),0)</f>
        <v>0</v>
      </c>
      <c r="I127" s="21"/>
      <c r="J127" s="22"/>
    </row>
    <row r="128" spans="1:10" ht="13.2" x14ac:dyDescent="0.25">
      <c r="A128" s="17"/>
      <c r="B128" s="28">
        <v>4</v>
      </c>
      <c r="C128" s="29"/>
      <c r="D128" s="30"/>
      <c r="E128" s="60"/>
      <c r="F128" s="60"/>
      <c r="G128" s="60"/>
      <c r="H128" s="61">
        <f ca="1">IFERROR(__xludf.DUMMYFUNCTION("MAX(IF(REGEXMATCH(E128,""^\d{1,2},\d{2}$""),VALUE(E128),0),IF(REGEXMATCH(F128,""^\d{1,2},\d{2}$""),VALUE(F128),0),IF(REGEXMATCH(G128,""^\d{1,2},\d{2}$""),VALUE(G128),0))"),0)</f>
        <v>0</v>
      </c>
      <c r="I128" s="21"/>
      <c r="J128" s="22"/>
    </row>
    <row r="129" spans="1:10" ht="13.2" x14ac:dyDescent="0.25">
      <c r="A129" s="17"/>
      <c r="B129" s="28">
        <v>5</v>
      </c>
      <c r="C129" s="29"/>
      <c r="D129" s="30"/>
      <c r="E129" s="60"/>
      <c r="F129" s="60"/>
      <c r="G129" s="60"/>
      <c r="H129" s="61">
        <f ca="1">IFERROR(__xludf.DUMMYFUNCTION("MAX(IF(REGEXMATCH(E129,""^\d{1,2},\d{2}$""),VALUE(E129),0),IF(REGEXMATCH(F129,""^\d{1,2},\d{2}$""),VALUE(F129),0),IF(REGEXMATCH(G129,""^\d{1,2},\d{2}$""),VALUE(G129),0))"),0)</f>
        <v>0</v>
      </c>
      <c r="I129" s="21"/>
      <c r="J129" s="22"/>
    </row>
    <row r="130" spans="1:10" ht="13.2" x14ac:dyDescent="0.25">
      <c r="A130" s="17"/>
      <c r="B130" s="62" t="s">
        <v>18</v>
      </c>
      <c r="C130" s="36"/>
      <c r="D130" s="44"/>
      <c r="E130" s="38"/>
      <c r="F130" s="38"/>
      <c r="G130" s="38"/>
      <c r="H130" s="63"/>
      <c r="I130" s="21"/>
      <c r="J130" s="22"/>
    </row>
    <row r="131" spans="1:10" ht="13.2" x14ac:dyDescent="0.25">
      <c r="A131" s="17"/>
      <c r="B131" s="17"/>
      <c r="D131" s="18"/>
      <c r="E131" s="18"/>
      <c r="F131" s="18"/>
      <c r="G131" s="18"/>
      <c r="H131" s="58"/>
      <c r="I131" s="21"/>
      <c r="J131" s="22"/>
    </row>
    <row r="132" spans="1:10" ht="15.6" x14ac:dyDescent="0.25">
      <c r="A132" s="23">
        <v>17</v>
      </c>
      <c r="B132" s="97"/>
      <c r="C132" s="98"/>
      <c r="D132" s="98"/>
      <c r="E132" s="98"/>
      <c r="F132" s="98"/>
      <c r="G132" s="98"/>
      <c r="H132" s="59"/>
      <c r="I132" s="25">
        <f ca="1">IF(COUNTIFS(H133:H137,"&gt;0") &gt; 3, FLOOR((SUM(H133:H137)-MIN(H133,H134,H135,H136,H137))/4,0.0001), )</f>
        <v>0</v>
      </c>
      <c r="J132" s="26" t="str">
        <f ca="1">IF(I132=0,"",RANK(I132,$I$4:$I$224,))</f>
        <v/>
      </c>
    </row>
    <row r="133" spans="1:10" ht="13.2" x14ac:dyDescent="0.25">
      <c r="A133" s="17"/>
      <c r="B133" s="28">
        <v>1</v>
      </c>
      <c r="C133" s="29"/>
      <c r="D133" s="30"/>
      <c r="E133" s="60"/>
      <c r="F133" s="60"/>
      <c r="G133" s="60"/>
      <c r="H133" s="61">
        <f ca="1">IFERROR(__xludf.DUMMYFUNCTION("MAX(IF(REGEXMATCH(E133,""^\d{1,2},\d{2}$""),VALUE(E133),0),IF(REGEXMATCH(F133,""^\d{1,2},\d{2}$""),VALUE(F133),0),IF(REGEXMATCH(G133,""^\d{1,2},\d{2}$""),VALUE(G133),0))"),0)</f>
        <v>0</v>
      </c>
      <c r="I133" s="21"/>
      <c r="J133" s="22"/>
    </row>
    <row r="134" spans="1:10" ht="13.2" x14ac:dyDescent="0.25">
      <c r="A134" s="17"/>
      <c r="B134" s="28">
        <v>2</v>
      </c>
      <c r="C134" s="29"/>
      <c r="D134" s="30"/>
      <c r="E134" s="60"/>
      <c r="F134" s="60"/>
      <c r="G134" s="60"/>
      <c r="H134" s="61">
        <f ca="1">IFERROR(__xludf.DUMMYFUNCTION("MAX(IF(REGEXMATCH(E134,""^\d{1,2},\d{2}$""),VALUE(E134),0),IF(REGEXMATCH(F134,""^\d{1,2},\d{2}$""),VALUE(F134),0),IF(REGEXMATCH(G134,""^\d{1,2},\d{2}$""),VALUE(G134),0))"),0)</f>
        <v>0</v>
      </c>
      <c r="I134" s="21"/>
      <c r="J134" s="22"/>
    </row>
    <row r="135" spans="1:10" ht="13.2" x14ac:dyDescent="0.25">
      <c r="A135" s="17"/>
      <c r="B135" s="28">
        <v>3</v>
      </c>
      <c r="C135" s="29"/>
      <c r="D135" s="30"/>
      <c r="E135" s="60"/>
      <c r="F135" s="60"/>
      <c r="G135" s="60"/>
      <c r="H135" s="61">
        <f ca="1">IFERROR(__xludf.DUMMYFUNCTION("MAX(IF(REGEXMATCH(E135,""^\d{1,2},\d{2}$""),VALUE(E135),0),IF(REGEXMATCH(F135,""^\d{1,2},\d{2}$""),VALUE(F135),0),IF(REGEXMATCH(G135,""^\d{1,2},\d{2}$""),VALUE(G135),0))"),0)</f>
        <v>0</v>
      </c>
      <c r="I135" s="21"/>
      <c r="J135" s="22"/>
    </row>
    <row r="136" spans="1:10" ht="13.2" x14ac:dyDescent="0.25">
      <c r="A136" s="17"/>
      <c r="B136" s="28">
        <v>4</v>
      </c>
      <c r="C136" s="29"/>
      <c r="D136" s="30"/>
      <c r="E136" s="60"/>
      <c r="F136" s="60"/>
      <c r="G136" s="60"/>
      <c r="H136" s="61">
        <f ca="1">IFERROR(__xludf.DUMMYFUNCTION("MAX(IF(REGEXMATCH(E136,""^\d{1,2},\d{2}$""),VALUE(E136),0),IF(REGEXMATCH(F136,""^\d{1,2},\d{2}$""),VALUE(F136),0),IF(REGEXMATCH(G136,""^\d{1,2},\d{2}$""),VALUE(G136),0))"),0)</f>
        <v>0</v>
      </c>
      <c r="I136" s="21"/>
      <c r="J136" s="22"/>
    </row>
    <row r="137" spans="1:10" ht="13.2" x14ac:dyDescent="0.25">
      <c r="A137" s="17"/>
      <c r="B137" s="28">
        <v>5</v>
      </c>
      <c r="C137" s="29"/>
      <c r="D137" s="30"/>
      <c r="E137" s="60"/>
      <c r="F137" s="60"/>
      <c r="G137" s="60"/>
      <c r="H137" s="61">
        <f ca="1">IFERROR(__xludf.DUMMYFUNCTION("MAX(IF(REGEXMATCH(E137,""^\d{1,2},\d{2}$""),VALUE(E137),0),IF(REGEXMATCH(F137,""^\d{1,2},\d{2}$""),VALUE(F137),0),IF(REGEXMATCH(G137,""^\d{1,2},\d{2}$""),VALUE(G137),0))"),0)</f>
        <v>0</v>
      </c>
      <c r="I137" s="21"/>
      <c r="J137" s="22"/>
    </row>
    <row r="138" spans="1:10" ht="13.2" x14ac:dyDescent="0.25">
      <c r="A138" s="17"/>
      <c r="B138" s="62" t="s">
        <v>18</v>
      </c>
      <c r="C138" s="36"/>
      <c r="D138" s="44"/>
      <c r="E138" s="38"/>
      <c r="F138" s="38"/>
      <c r="G138" s="38"/>
      <c r="H138" s="63"/>
      <c r="I138" s="21"/>
      <c r="J138" s="22"/>
    </row>
    <row r="139" spans="1:10" ht="13.2" x14ac:dyDescent="0.25">
      <c r="A139" s="17"/>
      <c r="B139" s="17"/>
      <c r="D139" s="18"/>
      <c r="E139" s="18"/>
      <c r="F139" s="18"/>
      <c r="G139" s="18"/>
      <c r="H139" s="58"/>
      <c r="I139" s="21"/>
      <c r="J139" s="22"/>
    </row>
    <row r="140" spans="1:10" ht="15.6" x14ac:dyDescent="0.25">
      <c r="A140" s="23">
        <v>18</v>
      </c>
      <c r="B140" s="97"/>
      <c r="C140" s="98"/>
      <c r="D140" s="98"/>
      <c r="E140" s="98"/>
      <c r="F140" s="98"/>
      <c r="G140" s="98"/>
      <c r="H140" s="59"/>
      <c r="I140" s="25">
        <f ca="1">IF(COUNTIFS(H141:H145,"&gt;0") &gt; 3, FLOOR((SUM(H141:H145)-MIN(H141,H142,H143,H144,H145))/4,0.0001), )</f>
        <v>0</v>
      </c>
      <c r="J140" s="26" t="str">
        <f ca="1">IF(I140=0,"",RANK(I140,$I$4:$I$224,))</f>
        <v/>
      </c>
    </row>
    <row r="141" spans="1:10" ht="13.2" x14ac:dyDescent="0.25">
      <c r="A141" s="17"/>
      <c r="B141" s="28">
        <v>1</v>
      </c>
      <c r="C141" s="29"/>
      <c r="D141" s="30"/>
      <c r="E141" s="60"/>
      <c r="F141" s="60"/>
      <c r="G141" s="60"/>
      <c r="H141" s="61">
        <f ca="1">IFERROR(__xludf.DUMMYFUNCTION("MAX(IF(REGEXMATCH(E141,""^\d{1,2},\d{2}$""),VALUE(E141),0),IF(REGEXMATCH(F141,""^\d{1,2},\d{2}$""),VALUE(F141),0),IF(REGEXMATCH(G141,""^\d{1,2},\d{2}$""),VALUE(G141),0))"),0)</f>
        <v>0</v>
      </c>
      <c r="I141" s="21"/>
      <c r="J141" s="22"/>
    </row>
    <row r="142" spans="1:10" ht="13.2" x14ac:dyDescent="0.25">
      <c r="A142" s="17"/>
      <c r="B142" s="28">
        <v>2</v>
      </c>
      <c r="C142" s="29"/>
      <c r="D142" s="30"/>
      <c r="E142" s="60"/>
      <c r="F142" s="60"/>
      <c r="G142" s="60"/>
      <c r="H142" s="61">
        <f ca="1">IFERROR(__xludf.DUMMYFUNCTION("MAX(IF(REGEXMATCH(E142,""^\d{1,2},\d{2}$""),VALUE(E142),0),IF(REGEXMATCH(F142,""^\d{1,2},\d{2}$""),VALUE(F142),0),IF(REGEXMATCH(G142,""^\d{1,2},\d{2}$""),VALUE(G142),0))"),0)</f>
        <v>0</v>
      </c>
      <c r="I142" s="21"/>
      <c r="J142" s="22"/>
    </row>
    <row r="143" spans="1:10" ht="13.2" x14ac:dyDescent="0.25">
      <c r="A143" s="17"/>
      <c r="B143" s="28">
        <v>3</v>
      </c>
      <c r="C143" s="29"/>
      <c r="D143" s="30"/>
      <c r="E143" s="60"/>
      <c r="F143" s="60"/>
      <c r="G143" s="60"/>
      <c r="H143" s="61">
        <f ca="1">IFERROR(__xludf.DUMMYFUNCTION("MAX(IF(REGEXMATCH(E143,""^\d{1,2},\d{2}$""),VALUE(E143),0),IF(REGEXMATCH(F143,""^\d{1,2},\d{2}$""),VALUE(F143),0),IF(REGEXMATCH(G143,""^\d{1,2},\d{2}$""),VALUE(G143),0))"),0)</f>
        <v>0</v>
      </c>
      <c r="I143" s="21"/>
      <c r="J143" s="22"/>
    </row>
    <row r="144" spans="1:10" ht="13.2" x14ac:dyDescent="0.25">
      <c r="A144" s="17"/>
      <c r="B144" s="28">
        <v>4</v>
      </c>
      <c r="C144" s="29"/>
      <c r="D144" s="30"/>
      <c r="E144" s="60"/>
      <c r="F144" s="60"/>
      <c r="G144" s="60"/>
      <c r="H144" s="61">
        <f ca="1">IFERROR(__xludf.DUMMYFUNCTION("MAX(IF(REGEXMATCH(E144,""^\d{1,2},\d{2}$""),VALUE(E144),0),IF(REGEXMATCH(F144,""^\d{1,2},\d{2}$""),VALUE(F144),0),IF(REGEXMATCH(G144,""^\d{1,2},\d{2}$""),VALUE(G144),0))"),0)</f>
        <v>0</v>
      </c>
      <c r="I144" s="21"/>
      <c r="J144" s="22"/>
    </row>
    <row r="145" spans="1:10" ht="13.2" x14ac:dyDescent="0.25">
      <c r="A145" s="17"/>
      <c r="B145" s="28">
        <v>5</v>
      </c>
      <c r="C145" s="29"/>
      <c r="D145" s="30"/>
      <c r="E145" s="60"/>
      <c r="F145" s="60"/>
      <c r="G145" s="60"/>
      <c r="H145" s="61">
        <f ca="1">IFERROR(__xludf.DUMMYFUNCTION("MAX(IF(REGEXMATCH(E145,""^\d{1,2},\d{2}$""),VALUE(E145),0),IF(REGEXMATCH(F145,""^\d{1,2},\d{2}$""),VALUE(F145),0),IF(REGEXMATCH(G145,""^\d{1,2},\d{2}$""),VALUE(G145),0))"),0)</f>
        <v>0</v>
      </c>
      <c r="I145" s="21"/>
      <c r="J145" s="22"/>
    </row>
    <row r="146" spans="1:10" ht="13.2" x14ac:dyDescent="0.25">
      <c r="A146" s="17"/>
      <c r="B146" s="62" t="s">
        <v>18</v>
      </c>
      <c r="C146" s="36"/>
      <c r="D146" s="44"/>
      <c r="E146" s="38"/>
      <c r="F146" s="38"/>
      <c r="G146" s="38"/>
      <c r="H146" s="63"/>
      <c r="I146" s="21"/>
      <c r="J146" s="22"/>
    </row>
    <row r="147" spans="1:10" ht="13.2" x14ac:dyDescent="0.25">
      <c r="A147" s="17"/>
      <c r="B147" s="17"/>
      <c r="D147" s="18"/>
      <c r="E147" s="18"/>
      <c r="F147" s="18"/>
      <c r="G147" s="18"/>
      <c r="H147" s="58"/>
      <c r="I147" s="21"/>
      <c r="J147" s="22"/>
    </row>
    <row r="148" spans="1:10" ht="15.6" x14ac:dyDescent="0.25">
      <c r="A148" s="23">
        <v>19</v>
      </c>
      <c r="B148" s="97"/>
      <c r="C148" s="98"/>
      <c r="D148" s="98"/>
      <c r="E148" s="98"/>
      <c r="F148" s="98"/>
      <c r="G148" s="98"/>
      <c r="H148" s="99"/>
      <c r="I148" s="25">
        <f ca="1">IF(COUNTIFS(H149:H153,"&gt;0") &gt; 3, FLOOR((SUM(H149:H153)-MIN(H149,H150,H151,H152,H153))/4,0.0001), )</f>
        <v>0</v>
      </c>
      <c r="J148" s="26" t="str">
        <f ca="1">IF(I148=0,"",RANK(I148,$I$4:$I$224,))</f>
        <v/>
      </c>
    </row>
    <row r="149" spans="1:10" ht="13.2" x14ac:dyDescent="0.25">
      <c r="A149" s="17"/>
      <c r="B149" s="28">
        <v>1</v>
      </c>
      <c r="C149" s="29"/>
      <c r="D149" s="30"/>
      <c r="E149" s="60"/>
      <c r="F149" s="60"/>
      <c r="G149" s="60"/>
      <c r="H149" s="61">
        <f ca="1">IFERROR(__xludf.DUMMYFUNCTION("MAX(IF(REGEXMATCH(E149,""^\d{1,2},\d{2}$""),VALUE(E149),0),IF(REGEXMATCH(F149,""^\d{1,2},\d{2}$""),VALUE(F149),0),IF(REGEXMATCH(G149,""^\d{1,2},\d{2}$""),VALUE(G149),0))"),0)</f>
        <v>0</v>
      </c>
      <c r="I149" s="21"/>
      <c r="J149" s="22"/>
    </row>
    <row r="150" spans="1:10" ht="13.2" x14ac:dyDescent="0.25">
      <c r="A150" s="17"/>
      <c r="B150" s="28">
        <v>2</v>
      </c>
      <c r="C150" s="29"/>
      <c r="D150" s="30"/>
      <c r="E150" s="60"/>
      <c r="F150" s="60"/>
      <c r="G150" s="60"/>
      <c r="H150" s="61">
        <f ca="1">IFERROR(__xludf.DUMMYFUNCTION("MAX(IF(REGEXMATCH(E150,""^\d{1,2},\d{2}$""),VALUE(E150),0),IF(REGEXMATCH(F150,""^\d{1,2},\d{2}$""),VALUE(F150),0),IF(REGEXMATCH(G150,""^\d{1,2},\d{2}$""),VALUE(G150),0))"),0)</f>
        <v>0</v>
      </c>
      <c r="I150" s="21"/>
      <c r="J150" s="22"/>
    </row>
    <row r="151" spans="1:10" ht="13.2" x14ac:dyDescent="0.25">
      <c r="A151" s="17"/>
      <c r="B151" s="28">
        <v>3</v>
      </c>
      <c r="C151" s="29"/>
      <c r="D151" s="30"/>
      <c r="E151" s="60"/>
      <c r="F151" s="60"/>
      <c r="G151" s="60"/>
      <c r="H151" s="61">
        <f ca="1">IFERROR(__xludf.DUMMYFUNCTION("MAX(IF(REGEXMATCH(E151,""^\d{1,2},\d{2}$""),VALUE(E151),0),IF(REGEXMATCH(F151,""^\d{1,2},\d{2}$""),VALUE(F151),0),IF(REGEXMATCH(G151,""^\d{1,2},\d{2}$""),VALUE(G151),0))"),0)</f>
        <v>0</v>
      </c>
      <c r="I151" s="21"/>
      <c r="J151" s="22"/>
    </row>
    <row r="152" spans="1:10" ht="13.2" x14ac:dyDescent="0.25">
      <c r="A152" s="17"/>
      <c r="B152" s="28">
        <v>4</v>
      </c>
      <c r="C152" s="29"/>
      <c r="D152" s="30"/>
      <c r="E152" s="60"/>
      <c r="F152" s="60"/>
      <c r="G152" s="60"/>
      <c r="H152" s="61">
        <f ca="1">IFERROR(__xludf.DUMMYFUNCTION("MAX(IF(REGEXMATCH(E152,""^\d{1,2},\d{2}$""),VALUE(E152),0),IF(REGEXMATCH(F152,""^\d{1,2},\d{2}$""),VALUE(F152),0),IF(REGEXMATCH(G152,""^\d{1,2},\d{2}$""),VALUE(G152),0))"),0)</f>
        <v>0</v>
      </c>
      <c r="I152" s="21"/>
      <c r="J152" s="22"/>
    </row>
    <row r="153" spans="1:10" ht="13.2" x14ac:dyDescent="0.25">
      <c r="A153" s="17"/>
      <c r="B153" s="28">
        <v>5</v>
      </c>
      <c r="C153" s="29"/>
      <c r="D153" s="30"/>
      <c r="E153" s="60"/>
      <c r="F153" s="60"/>
      <c r="G153" s="60"/>
      <c r="H153" s="61">
        <f ca="1">IFERROR(__xludf.DUMMYFUNCTION("MAX(IF(REGEXMATCH(E153,""^\d{1,2},\d{2}$""),VALUE(E153),0),IF(REGEXMATCH(F153,""^\d{1,2},\d{2}$""),VALUE(F153),0),IF(REGEXMATCH(G153,""^\d{1,2},\d{2}$""),VALUE(G153),0))"),0)</f>
        <v>0</v>
      </c>
      <c r="I153" s="21"/>
      <c r="J153" s="22"/>
    </row>
    <row r="154" spans="1:10" ht="13.2" x14ac:dyDescent="0.25">
      <c r="A154" s="17"/>
      <c r="B154" s="62" t="s">
        <v>18</v>
      </c>
      <c r="C154" s="36"/>
      <c r="D154" s="44"/>
      <c r="E154" s="38"/>
      <c r="F154" s="38"/>
      <c r="G154" s="38"/>
      <c r="H154" s="63"/>
      <c r="I154" s="21"/>
      <c r="J154" s="22"/>
    </row>
    <row r="155" spans="1:10" ht="13.2" x14ac:dyDescent="0.25">
      <c r="A155" s="17"/>
      <c r="B155" s="17"/>
      <c r="D155" s="18"/>
      <c r="E155" s="18"/>
      <c r="F155" s="18"/>
      <c r="G155" s="18"/>
      <c r="H155" s="58"/>
      <c r="I155" s="21"/>
      <c r="J155" s="22"/>
    </row>
    <row r="156" spans="1:10" ht="15.6" x14ac:dyDescent="0.25">
      <c r="A156" s="23">
        <v>20</v>
      </c>
      <c r="B156" s="97"/>
      <c r="C156" s="98"/>
      <c r="D156" s="98"/>
      <c r="E156" s="98"/>
      <c r="F156" s="98"/>
      <c r="G156" s="98"/>
      <c r="H156" s="59"/>
      <c r="I156" s="25">
        <f ca="1">IF(COUNTIFS(H157:H161,"&gt;0") &gt; 3, FLOOR((SUM(H157:H161)-MIN(H157,H158,H159,H160,H161))/4,0.0001), )</f>
        <v>0</v>
      </c>
      <c r="J156" s="26" t="str">
        <f ca="1">IF(I156=0,"",RANK(I156,$I$4:$I$224,))</f>
        <v/>
      </c>
    </row>
    <row r="157" spans="1:10" ht="13.2" x14ac:dyDescent="0.25">
      <c r="A157" s="17"/>
      <c r="B157" s="28">
        <v>1</v>
      </c>
      <c r="C157" s="29"/>
      <c r="D157" s="30"/>
      <c r="E157" s="60"/>
      <c r="F157" s="60"/>
      <c r="G157" s="60"/>
      <c r="H157" s="61">
        <f ca="1">IFERROR(__xludf.DUMMYFUNCTION("MAX(IF(REGEXMATCH(E157,""^\d{1,2},\d{2}$""),VALUE(E157),0),IF(REGEXMATCH(F157,""^\d{1,2},\d{2}$""),VALUE(F157),0),IF(REGEXMATCH(G157,""^\d{1,2},\d{2}$""),VALUE(G157),0))"),0)</f>
        <v>0</v>
      </c>
      <c r="I157" s="21"/>
      <c r="J157" s="22"/>
    </row>
    <row r="158" spans="1:10" ht="13.2" x14ac:dyDescent="0.25">
      <c r="A158" s="17"/>
      <c r="B158" s="28">
        <v>2</v>
      </c>
      <c r="C158" s="29"/>
      <c r="D158" s="30"/>
      <c r="E158" s="60"/>
      <c r="F158" s="60"/>
      <c r="G158" s="60"/>
      <c r="H158" s="61">
        <f ca="1">IFERROR(__xludf.DUMMYFUNCTION("MAX(IF(REGEXMATCH(E158,""^\d{1,2},\d{2}$""),VALUE(E158),0),IF(REGEXMATCH(F158,""^\d{1,2},\d{2}$""),VALUE(F158),0),IF(REGEXMATCH(G158,""^\d{1,2},\d{2}$""),VALUE(G158),0))"),0)</f>
        <v>0</v>
      </c>
      <c r="I158" s="21"/>
      <c r="J158" s="22"/>
    </row>
    <row r="159" spans="1:10" ht="13.2" x14ac:dyDescent="0.25">
      <c r="A159" s="17"/>
      <c r="B159" s="28">
        <v>3</v>
      </c>
      <c r="C159" s="29"/>
      <c r="D159" s="30"/>
      <c r="E159" s="60"/>
      <c r="F159" s="60"/>
      <c r="G159" s="60"/>
      <c r="H159" s="61">
        <f ca="1">IFERROR(__xludf.DUMMYFUNCTION("MAX(IF(REGEXMATCH(E159,""^\d{1,2},\d{2}$""),VALUE(E159),0),IF(REGEXMATCH(F159,""^\d{1,2},\d{2}$""),VALUE(F159),0),IF(REGEXMATCH(G159,""^\d{1,2},\d{2}$""),VALUE(G159),0))"),0)</f>
        <v>0</v>
      </c>
      <c r="I159" s="21"/>
      <c r="J159" s="22"/>
    </row>
    <row r="160" spans="1:10" ht="13.2" x14ac:dyDescent="0.25">
      <c r="A160" s="17"/>
      <c r="B160" s="28">
        <v>4</v>
      </c>
      <c r="C160" s="29"/>
      <c r="D160" s="30"/>
      <c r="E160" s="60"/>
      <c r="F160" s="60"/>
      <c r="G160" s="60"/>
      <c r="H160" s="61">
        <f ca="1">IFERROR(__xludf.DUMMYFUNCTION("MAX(IF(REGEXMATCH(E160,""^\d{1,2},\d{2}$""),VALUE(E160),0),IF(REGEXMATCH(F160,""^\d{1,2},\d{2}$""),VALUE(F160),0),IF(REGEXMATCH(G160,""^\d{1,2},\d{2}$""),VALUE(G160),0))"),0)</f>
        <v>0</v>
      </c>
      <c r="I160" s="21"/>
      <c r="J160" s="22"/>
    </row>
    <row r="161" spans="1:10" ht="13.2" x14ac:dyDescent="0.25">
      <c r="A161" s="17"/>
      <c r="B161" s="28">
        <v>5</v>
      </c>
      <c r="C161" s="29"/>
      <c r="D161" s="30"/>
      <c r="E161" s="60"/>
      <c r="F161" s="60"/>
      <c r="G161" s="60"/>
      <c r="H161" s="61">
        <f ca="1">IFERROR(__xludf.DUMMYFUNCTION("MAX(IF(REGEXMATCH(E161,""^\d{1,2},\d{2}$""),VALUE(E161),0),IF(REGEXMATCH(F161,""^\d{1,2},\d{2}$""),VALUE(F161),0),IF(REGEXMATCH(G161,""^\d{1,2},\d{2}$""),VALUE(G161),0))"),0)</f>
        <v>0</v>
      </c>
      <c r="I161" s="21"/>
      <c r="J161" s="22"/>
    </row>
    <row r="162" spans="1:10" ht="13.2" x14ac:dyDescent="0.25">
      <c r="A162" s="17"/>
      <c r="B162" s="62" t="s">
        <v>18</v>
      </c>
      <c r="C162" s="36"/>
      <c r="D162" s="44"/>
      <c r="E162" s="38"/>
      <c r="F162" s="38"/>
      <c r="G162" s="38"/>
      <c r="H162" s="63"/>
      <c r="I162" s="21"/>
      <c r="J162" s="22"/>
    </row>
    <row r="163" spans="1:10" ht="13.2" x14ac:dyDescent="0.25">
      <c r="A163" s="17"/>
      <c r="B163" s="17"/>
      <c r="D163" s="18"/>
      <c r="E163" s="18"/>
      <c r="F163" s="18"/>
      <c r="G163" s="18"/>
      <c r="H163" s="58"/>
      <c r="I163" s="21"/>
      <c r="J163" s="22"/>
    </row>
    <row r="164" spans="1:10" ht="15.6" x14ac:dyDescent="0.25">
      <c r="A164" s="23">
        <v>21</v>
      </c>
      <c r="B164" s="97"/>
      <c r="C164" s="98"/>
      <c r="D164" s="98"/>
      <c r="E164" s="98"/>
      <c r="F164" s="98"/>
      <c r="G164" s="98"/>
      <c r="H164" s="59"/>
      <c r="I164" s="25">
        <f ca="1">IF(COUNTIFS(H165:H169,"&gt;0") &gt; 3, FLOOR((SUM(H165:H169)-MIN(H165,H166,H167,H168,H169))/4,0.0001), )</f>
        <v>0</v>
      </c>
      <c r="J164" s="26" t="str">
        <f ca="1">IF(I164=0,"",RANK(I164,$I$4:$I$224,))</f>
        <v/>
      </c>
    </row>
    <row r="165" spans="1:10" ht="13.2" x14ac:dyDescent="0.25">
      <c r="A165" s="17"/>
      <c r="B165" s="28">
        <v>1</v>
      </c>
      <c r="C165" s="29"/>
      <c r="D165" s="30"/>
      <c r="E165" s="60"/>
      <c r="F165" s="60"/>
      <c r="G165" s="60"/>
      <c r="H165" s="61">
        <f ca="1">IFERROR(__xludf.DUMMYFUNCTION("MAX(IF(REGEXMATCH(E165,""^\d{1,2},\d{2}$""),VALUE(E165),0),IF(REGEXMATCH(F165,""^\d{1,2},\d{2}$""),VALUE(F165),0),IF(REGEXMATCH(G165,""^\d{1,2},\d{2}$""),VALUE(G165),0))"),0)</f>
        <v>0</v>
      </c>
      <c r="I165" s="21"/>
      <c r="J165" s="22"/>
    </row>
    <row r="166" spans="1:10" ht="13.2" x14ac:dyDescent="0.25">
      <c r="A166" s="17"/>
      <c r="B166" s="28">
        <v>2</v>
      </c>
      <c r="C166" s="29"/>
      <c r="D166" s="30"/>
      <c r="E166" s="60"/>
      <c r="F166" s="60"/>
      <c r="G166" s="60"/>
      <c r="H166" s="61">
        <f ca="1">IFERROR(__xludf.DUMMYFUNCTION("MAX(IF(REGEXMATCH(E166,""^\d{1,2},\d{2}$""),VALUE(E166),0),IF(REGEXMATCH(F166,""^\d{1,2},\d{2}$""),VALUE(F166),0),IF(REGEXMATCH(G166,""^\d{1,2},\d{2}$""),VALUE(G166),0))"),0)</f>
        <v>0</v>
      </c>
      <c r="I166" s="21"/>
      <c r="J166" s="22"/>
    </row>
    <row r="167" spans="1:10" ht="13.2" x14ac:dyDescent="0.25">
      <c r="A167" s="17"/>
      <c r="B167" s="28">
        <v>3</v>
      </c>
      <c r="C167" s="29"/>
      <c r="D167" s="30"/>
      <c r="E167" s="60"/>
      <c r="F167" s="60"/>
      <c r="G167" s="60"/>
      <c r="H167" s="61">
        <f ca="1">IFERROR(__xludf.DUMMYFUNCTION("MAX(IF(REGEXMATCH(E167,""^\d{1,2},\d{2}$""),VALUE(E167),0),IF(REGEXMATCH(F167,""^\d{1,2},\d{2}$""),VALUE(F167),0),IF(REGEXMATCH(G167,""^\d{1,2},\d{2}$""),VALUE(G167),0))"),0)</f>
        <v>0</v>
      </c>
      <c r="I167" s="21"/>
      <c r="J167" s="22"/>
    </row>
    <row r="168" spans="1:10" ht="13.2" x14ac:dyDescent="0.25">
      <c r="A168" s="17"/>
      <c r="B168" s="28">
        <v>4</v>
      </c>
      <c r="C168" s="29"/>
      <c r="D168" s="30"/>
      <c r="E168" s="60"/>
      <c r="F168" s="60"/>
      <c r="G168" s="60"/>
      <c r="H168" s="61">
        <f ca="1">IFERROR(__xludf.DUMMYFUNCTION("MAX(IF(REGEXMATCH(E168,""^\d{1,2},\d{2}$""),VALUE(E168),0),IF(REGEXMATCH(F168,""^\d{1,2},\d{2}$""),VALUE(F168),0),IF(REGEXMATCH(G168,""^\d{1,2},\d{2}$""),VALUE(G168),0))"),0)</f>
        <v>0</v>
      </c>
      <c r="I168" s="21"/>
      <c r="J168" s="22"/>
    </row>
    <row r="169" spans="1:10" ht="13.2" x14ac:dyDescent="0.25">
      <c r="A169" s="17"/>
      <c r="B169" s="28">
        <v>5</v>
      </c>
      <c r="C169" s="29"/>
      <c r="D169" s="30"/>
      <c r="E169" s="60"/>
      <c r="F169" s="60"/>
      <c r="G169" s="60"/>
      <c r="H169" s="61">
        <f ca="1">IFERROR(__xludf.DUMMYFUNCTION("MAX(IF(REGEXMATCH(E169,""^\d{1,2},\d{2}$""),VALUE(E169),0),IF(REGEXMATCH(F169,""^\d{1,2},\d{2}$""),VALUE(F169),0),IF(REGEXMATCH(G169,""^\d{1,2},\d{2}$""),VALUE(G169),0))"),0)</f>
        <v>0</v>
      </c>
      <c r="I169" s="21"/>
      <c r="J169" s="22"/>
    </row>
    <row r="170" spans="1:10" ht="13.2" x14ac:dyDescent="0.25">
      <c r="A170" s="17"/>
      <c r="B170" s="62" t="s">
        <v>18</v>
      </c>
      <c r="C170" s="36"/>
      <c r="D170" s="44"/>
      <c r="E170" s="38"/>
      <c r="F170" s="38"/>
      <c r="G170" s="38"/>
      <c r="H170" s="63"/>
      <c r="I170" s="21"/>
      <c r="J170" s="22"/>
    </row>
    <row r="171" spans="1:10" ht="13.2" x14ac:dyDescent="0.25">
      <c r="A171" s="17"/>
      <c r="B171" s="17"/>
      <c r="D171" s="18"/>
      <c r="E171" s="18"/>
      <c r="F171" s="18"/>
      <c r="G171" s="18"/>
      <c r="H171" s="58"/>
      <c r="I171" s="21"/>
      <c r="J171" s="22"/>
    </row>
    <row r="172" spans="1:10" ht="15.6" x14ac:dyDescent="0.25">
      <c r="A172" s="46">
        <v>22</v>
      </c>
      <c r="B172" s="97"/>
      <c r="C172" s="98"/>
      <c r="D172" s="98"/>
      <c r="E172" s="98"/>
      <c r="F172" s="98"/>
      <c r="G172" s="98"/>
      <c r="H172" s="59"/>
      <c r="I172" s="25">
        <f ca="1">IF(COUNTIFS(H173:H177,"&gt;0") &gt; 3, FLOOR((SUM(H173:H177)-MIN(H173,H174,H175,H176,H177))/4,0.0001), )</f>
        <v>0</v>
      </c>
      <c r="J172" s="26" t="str">
        <f ca="1">IF(I172=0,"",RANK(I172,$I$4:$I$224,))</f>
        <v/>
      </c>
    </row>
    <row r="173" spans="1:10" ht="13.2" x14ac:dyDescent="0.25">
      <c r="A173" s="52"/>
      <c r="B173" s="48">
        <v>1</v>
      </c>
      <c r="C173" s="49"/>
      <c r="D173" s="50"/>
      <c r="E173" s="60"/>
      <c r="F173" s="60"/>
      <c r="G173" s="60"/>
      <c r="H173" s="61">
        <f ca="1">IFERROR(__xludf.DUMMYFUNCTION("MAX(IF(REGEXMATCH(E173,""^\d{1,2},\d{2}$""),VALUE(E173),0),IF(REGEXMATCH(F173,""^\d{1,2},\d{2}$""),VALUE(F173),0),IF(REGEXMATCH(G173,""^\d{1,2},\d{2}$""),VALUE(G173),0))"),0)</f>
        <v>0</v>
      </c>
      <c r="I173" s="51"/>
      <c r="J173" s="52"/>
    </row>
    <row r="174" spans="1:10" ht="13.2" x14ac:dyDescent="0.25">
      <c r="A174" s="52"/>
      <c r="B174" s="48">
        <v>2</v>
      </c>
      <c r="C174" s="49"/>
      <c r="D174" s="50"/>
      <c r="E174" s="60"/>
      <c r="F174" s="60"/>
      <c r="G174" s="60"/>
      <c r="H174" s="61">
        <f ca="1">IFERROR(__xludf.DUMMYFUNCTION("MAX(IF(REGEXMATCH(E174,""^\d{1,2},\d{2}$""),VALUE(E174),0),IF(REGEXMATCH(F174,""^\d{1,2},\d{2}$""),VALUE(F174),0),IF(REGEXMATCH(G174,""^\d{1,2},\d{2}$""),VALUE(G174),0))"),0)</f>
        <v>0</v>
      </c>
      <c r="I174" s="51"/>
      <c r="J174" s="52"/>
    </row>
    <row r="175" spans="1:10" ht="13.2" x14ac:dyDescent="0.25">
      <c r="A175" s="52"/>
      <c r="B175" s="48">
        <v>3</v>
      </c>
      <c r="C175" s="49"/>
      <c r="D175" s="50"/>
      <c r="E175" s="60"/>
      <c r="F175" s="60"/>
      <c r="G175" s="60"/>
      <c r="H175" s="61">
        <f ca="1">IFERROR(__xludf.DUMMYFUNCTION("MAX(IF(REGEXMATCH(E175,""^\d{1,2},\d{2}$""),VALUE(E175),0),IF(REGEXMATCH(F175,""^\d{1,2},\d{2}$""),VALUE(F175),0),IF(REGEXMATCH(G175,""^\d{1,2},\d{2}$""),VALUE(G175),0))"),0)</f>
        <v>0</v>
      </c>
      <c r="I175" s="51"/>
      <c r="J175" s="52"/>
    </row>
    <row r="176" spans="1:10" ht="13.2" x14ac:dyDescent="0.25">
      <c r="A176" s="52"/>
      <c r="B176" s="48">
        <v>4</v>
      </c>
      <c r="C176" s="49"/>
      <c r="D176" s="50"/>
      <c r="E176" s="60"/>
      <c r="F176" s="60"/>
      <c r="G176" s="60"/>
      <c r="H176" s="61">
        <f ca="1">IFERROR(__xludf.DUMMYFUNCTION("MAX(IF(REGEXMATCH(E176,""^\d{1,2},\d{2}$""),VALUE(E176),0),IF(REGEXMATCH(F176,""^\d{1,2},\d{2}$""),VALUE(F176),0),IF(REGEXMATCH(G176,""^\d{1,2},\d{2}$""),VALUE(G176),0))"),0)</f>
        <v>0</v>
      </c>
      <c r="I176" s="51"/>
      <c r="J176" s="52"/>
    </row>
    <row r="177" spans="1:10" ht="13.2" x14ac:dyDescent="0.25">
      <c r="A177" s="52"/>
      <c r="B177" s="48">
        <v>5</v>
      </c>
      <c r="C177" s="49"/>
      <c r="D177" s="50"/>
      <c r="E177" s="60"/>
      <c r="F177" s="60"/>
      <c r="G177" s="60"/>
      <c r="H177" s="61">
        <f ca="1">IFERROR(__xludf.DUMMYFUNCTION("MAX(IF(REGEXMATCH(E177,""^\d{1,2},\d{2}$""),VALUE(E177),0),IF(REGEXMATCH(F177,""^\d{1,2},\d{2}$""),VALUE(F177),0),IF(REGEXMATCH(G177,""^\d{1,2},\d{2}$""),VALUE(G177),0))"),0)</f>
        <v>0</v>
      </c>
      <c r="I177" s="51"/>
      <c r="J177" s="52"/>
    </row>
    <row r="178" spans="1:10" ht="13.2" x14ac:dyDescent="0.25">
      <c r="A178" s="52"/>
      <c r="B178" s="62" t="s">
        <v>18</v>
      </c>
      <c r="C178" s="36"/>
      <c r="D178" s="44"/>
      <c r="E178" s="38"/>
      <c r="F178" s="38"/>
      <c r="G178" s="38"/>
      <c r="H178" s="63"/>
      <c r="I178" s="51"/>
      <c r="J178" s="52"/>
    </row>
    <row r="179" spans="1:10" ht="13.2" x14ac:dyDescent="0.25">
      <c r="A179" s="52"/>
      <c r="B179" s="52"/>
      <c r="C179" s="52"/>
      <c r="D179" s="53"/>
      <c r="E179" s="53"/>
      <c r="F179" s="53"/>
      <c r="G179" s="53"/>
      <c r="H179" s="64"/>
      <c r="I179" s="51"/>
      <c r="J179" s="52"/>
    </row>
    <row r="180" spans="1:10" ht="15.6" x14ac:dyDescent="0.25">
      <c r="A180" s="46">
        <v>23</v>
      </c>
      <c r="B180" s="97"/>
      <c r="C180" s="98"/>
      <c r="D180" s="98"/>
      <c r="E180" s="98"/>
      <c r="F180" s="98"/>
      <c r="G180" s="98"/>
      <c r="H180" s="59"/>
      <c r="I180" s="25">
        <f ca="1">IF(COUNTIFS(H181:H185,"&gt;0") &gt; 3, FLOOR((SUM(H181:H185)-MIN(H181,H182,H183,H184,H185))/4,0.0001), )</f>
        <v>0</v>
      </c>
      <c r="J180" s="26" t="str">
        <f ca="1">IF(I180=0,"",RANK(I180,$I$4:$I$224,))</f>
        <v/>
      </c>
    </row>
    <row r="181" spans="1:10" ht="13.2" x14ac:dyDescent="0.25">
      <c r="A181" s="52"/>
      <c r="B181" s="48">
        <v>1</v>
      </c>
      <c r="C181" s="49"/>
      <c r="D181" s="50"/>
      <c r="E181" s="60"/>
      <c r="F181" s="60"/>
      <c r="G181" s="60"/>
      <c r="H181" s="61">
        <f ca="1">IFERROR(__xludf.DUMMYFUNCTION("MAX(IF(REGEXMATCH(E181,""^\d{1,2},\d{2}$""),VALUE(E181),0),IF(REGEXMATCH(F181,""^\d{1,2},\d{2}$""),VALUE(F181),0),IF(REGEXMATCH(G181,""^\d{1,2},\d{2}$""),VALUE(G181),0))"),0)</f>
        <v>0</v>
      </c>
      <c r="I181" s="51"/>
      <c r="J181" s="52"/>
    </row>
    <row r="182" spans="1:10" ht="13.2" x14ac:dyDescent="0.25">
      <c r="A182" s="52"/>
      <c r="B182" s="48">
        <v>2</v>
      </c>
      <c r="C182" s="49"/>
      <c r="D182" s="50"/>
      <c r="E182" s="60"/>
      <c r="F182" s="60"/>
      <c r="G182" s="60"/>
      <c r="H182" s="61">
        <f ca="1">IFERROR(__xludf.DUMMYFUNCTION("MAX(IF(REGEXMATCH(E182,""^\d{1,2},\d{2}$""),VALUE(E182),0),IF(REGEXMATCH(F182,""^\d{1,2},\d{2}$""),VALUE(F182),0),IF(REGEXMATCH(G182,""^\d{1,2},\d{2}$""),VALUE(G182),0))"),0)</f>
        <v>0</v>
      </c>
      <c r="I182" s="51"/>
      <c r="J182" s="52"/>
    </row>
    <row r="183" spans="1:10" ht="13.2" x14ac:dyDescent="0.25">
      <c r="A183" s="52"/>
      <c r="B183" s="48">
        <v>3</v>
      </c>
      <c r="C183" s="49"/>
      <c r="D183" s="50"/>
      <c r="E183" s="60"/>
      <c r="F183" s="60"/>
      <c r="G183" s="60"/>
      <c r="H183" s="61">
        <f ca="1">IFERROR(__xludf.DUMMYFUNCTION("MAX(IF(REGEXMATCH(E183,""^\d{1,2},\d{2}$""),VALUE(E183),0),IF(REGEXMATCH(F183,""^\d{1,2},\d{2}$""),VALUE(F183),0),IF(REGEXMATCH(G183,""^\d{1,2},\d{2}$""),VALUE(G183),0))"),0)</f>
        <v>0</v>
      </c>
      <c r="I183" s="51"/>
      <c r="J183" s="52"/>
    </row>
    <row r="184" spans="1:10" ht="13.2" x14ac:dyDescent="0.25">
      <c r="A184" s="52"/>
      <c r="B184" s="48">
        <v>4</v>
      </c>
      <c r="C184" s="49"/>
      <c r="D184" s="50"/>
      <c r="E184" s="60"/>
      <c r="F184" s="60"/>
      <c r="G184" s="60"/>
      <c r="H184" s="61">
        <f ca="1">IFERROR(__xludf.DUMMYFUNCTION("MAX(IF(REGEXMATCH(E184,""^\d{1,2},\d{2}$""),VALUE(E184),0),IF(REGEXMATCH(F184,""^\d{1,2},\d{2}$""),VALUE(F184),0),IF(REGEXMATCH(G184,""^\d{1,2},\d{2}$""),VALUE(G184),0))"),0)</f>
        <v>0</v>
      </c>
      <c r="I184" s="51"/>
      <c r="J184" s="52"/>
    </row>
    <row r="185" spans="1:10" ht="13.2" x14ac:dyDescent="0.25">
      <c r="A185" s="52"/>
      <c r="B185" s="48">
        <v>5</v>
      </c>
      <c r="C185" s="49"/>
      <c r="D185" s="50"/>
      <c r="E185" s="60"/>
      <c r="F185" s="60"/>
      <c r="G185" s="60"/>
      <c r="H185" s="61">
        <f ca="1">IFERROR(__xludf.DUMMYFUNCTION("MAX(IF(REGEXMATCH(E185,""^\d{1,2},\d{2}$""),VALUE(E185),0),IF(REGEXMATCH(F185,""^\d{1,2},\d{2}$""),VALUE(F185),0),IF(REGEXMATCH(G185,""^\d{1,2},\d{2}$""),VALUE(G185),0))"),0)</f>
        <v>0</v>
      </c>
      <c r="I185" s="51"/>
      <c r="J185" s="52"/>
    </row>
    <row r="186" spans="1:10" ht="13.2" x14ac:dyDescent="0.25">
      <c r="A186" s="52"/>
      <c r="B186" s="62" t="s">
        <v>18</v>
      </c>
      <c r="C186" s="36"/>
      <c r="D186" s="44"/>
      <c r="E186" s="38"/>
      <c r="F186" s="38"/>
      <c r="G186" s="38"/>
      <c r="H186" s="63"/>
      <c r="I186" s="51"/>
      <c r="J186" s="52"/>
    </row>
    <row r="187" spans="1:10" ht="13.2" x14ac:dyDescent="0.25">
      <c r="A187" s="52"/>
      <c r="B187" s="52"/>
      <c r="C187" s="52"/>
      <c r="D187" s="53"/>
      <c r="E187" s="53"/>
      <c r="F187" s="53"/>
      <c r="G187" s="53"/>
      <c r="H187" s="64"/>
      <c r="I187" s="51"/>
      <c r="J187" s="52"/>
    </row>
    <row r="188" spans="1:10" ht="15.6" x14ac:dyDescent="0.25">
      <c r="A188" s="46">
        <v>24</v>
      </c>
      <c r="B188" s="97"/>
      <c r="C188" s="98"/>
      <c r="D188" s="98"/>
      <c r="E188" s="98"/>
      <c r="F188" s="98"/>
      <c r="G188" s="98"/>
      <c r="H188" s="59"/>
      <c r="I188" s="25">
        <f ca="1">IF(COUNTIFS(H189:H193,"&gt;0") &gt; 3, FLOOR((SUM(H189:H193)-MIN(H189,H190,H191,H192,H193))/4,0.0001), )</f>
        <v>0</v>
      </c>
      <c r="J188" s="26" t="str">
        <f ca="1">IF(I188=0,"",RANK(I188,$I$4:$I$224,))</f>
        <v/>
      </c>
    </row>
    <row r="189" spans="1:10" ht="13.2" x14ac:dyDescent="0.25">
      <c r="A189" s="52"/>
      <c r="B189" s="48">
        <v>1</v>
      </c>
      <c r="C189" s="49"/>
      <c r="D189" s="50"/>
      <c r="E189" s="60"/>
      <c r="F189" s="60"/>
      <c r="G189" s="60"/>
      <c r="H189" s="61">
        <f ca="1">IFERROR(__xludf.DUMMYFUNCTION("MAX(IF(REGEXMATCH(E189,""^\d{1,2},\d{2}$""),VALUE(E189),0),IF(REGEXMATCH(F189,""^\d{1,2},\d{2}$""),VALUE(F189),0),IF(REGEXMATCH(G189,""^\d{1,2},\d{2}$""),VALUE(G189),0))"),0)</f>
        <v>0</v>
      </c>
      <c r="I189" s="51"/>
      <c r="J189" s="52"/>
    </row>
    <row r="190" spans="1:10" ht="13.2" x14ac:dyDescent="0.25">
      <c r="A190" s="52"/>
      <c r="B190" s="48">
        <v>2</v>
      </c>
      <c r="C190" s="49"/>
      <c r="D190" s="50"/>
      <c r="E190" s="60"/>
      <c r="F190" s="60"/>
      <c r="G190" s="60"/>
      <c r="H190" s="61">
        <f ca="1">IFERROR(__xludf.DUMMYFUNCTION("MAX(IF(REGEXMATCH(E190,""^\d{1,2},\d{2}$""),VALUE(E190),0),IF(REGEXMATCH(F190,""^\d{1,2},\d{2}$""),VALUE(F190),0),IF(REGEXMATCH(G190,""^\d{1,2},\d{2}$""),VALUE(G190),0))"),0)</f>
        <v>0</v>
      </c>
      <c r="I190" s="51"/>
      <c r="J190" s="52"/>
    </row>
    <row r="191" spans="1:10" ht="13.2" x14ac:dyDescent="0.25">
      <c r="A191" s="52"/>
      <c r="B191" s="48">
        <v>3</v>
      </c>
      <c r="C191" s="49"/>
      <c r="D191" s="50"/>
      <c r="E191" s="60"/>
      <c r="F191" s="60"/>
      <c r="G191" s="60"/>
      <c r="H191" s="61">
        <f ca="1">IFERROR(__xludf.DUMMYFUNCTION("MAX(IF(REGEXMATCH(E191,""^\d{1,2},\d{2}$""),VALUE(E191),0),IF(REGEXMATCH(F191,""^\d{1,2},\d{2}$""),VALUE(F191),0),IF(REGEXMATCH(G191,""^\d{1,2},\d{2}$""),VALUE(G191),0))"),0)</f>
        <v>0</v>
      </c>
      <c r="I191" s="51"/>
      <c r="J191" s="52"/>
    </row>
    <row r="192" spans="1:10" ht="13.2" x14ac:dyDescent="0.25">
      <c r="A192" s="52"/>
      <c r="B192" s="48">
        <v>4</v>
      </c>
      <c r="C192" s="49"/>
      <c r="D192" s="50"/>
      <c r="E192" s="60"/>
      <c r="F192" s="60"/>
      <c r="G192" s="60"/>
      <c r="H192" s="61">
        <f ca="1">IFERROR(__xludf.DUMMYFUNCTION("MAX(IF(REGEXMATCH(E192,""^\d{1,2},\d{2}$""),VALUE(E192),0),IF(REGEXMATCH(F192,""^\d{1,2},\d{2}$""),VALUE(F192),0),IF(REGEXMATCH(G192,""^\d{1,2},\d{2}$""),VALUE(G192),0))"),0)</f>
        <v>0</v>
      </c>
      <c r="I192" s="51"/>
      <c r="J192" s="52"/>
    </row>
    <row r="193" spans="1:10" ht="13.2" x14ac:dyDescent="0.25">
      <c r="A193" s="52"/>
      <c r="B193" s="48">
        <v>5</v>
      </c>
      <c r="C193" s="49"/>
      <c r="D193" s="50"/>
      <c r="E193" s="60"/>
      <c r="F193" s="60"/>
      <c r="G193" s="60"/>
      <c r="H193" s="61">
        <f ca="1">IFERROR(__xludf.DUMMYFUNCTION("MAX(IF(REGEXMATCH(E193,""^\d{1,2},\d{2}$""),VALUE(E193),0),IF(REGEXMATCH(F193,""^\d{1,2},\d{2}$""),VALUE(F193),0),IF(REGEXMATCH(G193,""^\d{1,2},\d{2}$""),VALUE(G193),0))"),0)</f>
        <v>0</v>
      </c>
      <c r="I193" s="51"/>
      <c r="J193" s="52"/>
    </row>
    <row r="194" spans="1:10" ht="13.2" x14ac:dyDescent="0.25">
      <c r="A194" s="52"/>
      <c r="B194" s="62" t="s">
        <v>18</v>
      </c>
      <c r="C194" s="36"/>
      <c r="D194" s="44"/>
      <c r="E194" s="38"/>
      <c r="F194" s="38"/>
      <c r="G194" s="38"/>
      <c r="H194" s="63"/>
      <c r="I194" s="51"/>
      <c r="J194" s="52"/>
    </row>
    <row r="195" spans="1:10" ht="13.2" x14ac:dyDescent="0.25">
      <c r="A195" s="52"/>
      <c r="B195" s="52"/>
      <c r="C195" s="52"/>
      <c r="D195" s="53"/>
      <c r="E195" s="53"/>
      <c r="F195" s="53"/>
      <c r="G195" s="53"/>
      <c r="H195" s="64"/>
      <c r="I195" s="51"/>
      <c r="J195" s="52"/>
    </row>
    <row r="196" spans="1:10" ht="15.6" x14ac:dyDescent="0.25">
      <c r="A196" s="46">
        <v>25</v>
      </c>
      <c r="B196" s="97"/>
      <c r="C196" s="98"/>
      <c r="D196" s="98"/>
      <c r="E196" s="98"/>
      <c r="F196" s="98"/>
      <c r="G196" s="98"/>
      <c r="H196" s="59"/>
      <c r="I196" s="25">
        <f ca="1">IF(COUNTIFS(H197:H201,"&gt;0") &gt; 3, FLOOR((SUM(H197:H201)-MIN(H197,H198,H199,H200,H201))/4,0.0001), )</f>
        <v>0</v>
      </c>
      <c r="J196" s="26" t="str">
        <f ca="1">IF(I196=0,"",RANK(I196,$I$4:$I$224,))</f>
        <v/>
      </c>
    </row>
    <row r="197" spans="1:10" ht="13.2" x14ac:dyDescent="0.25">
      <c r="A197" s="52"/>
      <c r="B197" s="48">
        <v>1</v>
      </c>
      <c r="C197" s="49"/>
      <c r="D197" s="50"/>
      <c r="E197" s="60"/>
      <c r="F197" s="60"/>
      <c r="G197" s="60"/>
      <c r="H197" s="61">
        <f ca="1">IFERROR(__xludf.DUMMYFUNCTION("MAX(IF(REGEXMATCH(E197,""^\d{1,2},\d{2}$""),VALUE(E197),0),IF(REGEXMATCH(F197,""^\d{1,2},\d{2}$""),VALUE(F197),0),IF(REGEXMATCH(G197,""^\d{1,2},\d{2}$""),VALUE(G197),0))"),0)</f>
        <v>0</v>
      </c>
      <c r="I197" s="51"/>
      <c r="J197" s="52"/>
    </row>
    <row r="198" spans="1:10" ht="13.2" x14ac:dyDescent="0.25">
      <c r="A198" s="52"/>
      <c r="B198" s="48">
        <v>2</v>
      </c>
      <c r="C198" s="49"/>
      <c r="D198" s="50"/>
      <c r="E198" s="60"/>
      <c r="F198" s="60"/>
      <c r="G198" s="60"/>
      <c r="H198" s="61">
        <f ca="1">IFERROR(__xludf.DUMMYFUNCTION("MAX(IF(REGEXMATCH(E198,""^\d{1,2},\d{2}$""),VALUE(E198),0),IF(REGEXMATCH(F198,""^\d{1,2},\d{2}$""),VALUE(F198),0),IF(REGEXMATCH(G198,""^\d{1,2},\d{2}$""),VALUE(G198),0))"),0)</f>
        <v>0</v>
      </c>
      <c r="I198" s="51"/>
      <c r="J198" s="52"/>
    </row>
    <row r="199" spans="1:10" ht="13.2" x14ac:dyDescent="0.25">
      <c r="A199" s="52"/>
      <c r="B199" s="48">
        <v>3</v>
      </c>
      <c r="C199" s="49"/>
      <c r="D199" s="50"/>
      <c r="E199" s="60"/>
      <c r="F199" s="60"/>
      <c r="G199" s="60"/>
      <c r="H199" s="61">
        <f ca="1">IFERROR(__xludf.DUMMYFUNCTION("MAX(IF(REGEXMATCH(E199,""^\d{1,2},\d{2}$""),VALUE(E199),0),IF(REGEXMATCH(F199,""^\d{1,2},\d{2}$""),VALUE(F199),0),IF(REGEXMATCH(G199,""^\d{1,2},\d{2}$""),VALUE(G199),0))"),0)</f>
        <v>0</v>
      </c>
      <c r="I199" s="51"/>
      <c r="J199" s="52"/>
    </row>
    <row r="200" spans="1:10" ht="13.2" x14ac:dyDescent="0.25">
      <c r="A200" s="52"/>
      <c r="B200" s="48">
        <v>4</v>
      </c>
      <c r="C200" s="49"/>
      <c r="D200" s="50"/>
      <c r="E200" s="60"/>
      <c r="F200" s="60"/>
      <c r="G200" s="60"/>
      <c r="H200" s="61">
        <f ca="1">IFERROR(__xludf.DUMMYFUNCTION("MAX(IF(REGEXMATCH(E200,""^\d{1,2},\d{2}$""),VALUE(E200),0),IF(REGEXMATCH(F200,""^\d{1,2},\d{2}$""),VALUE(F200),0),IF(REGEXMATCH(G200,""^\d{1,2},\d{2}$""),VALUE(G200),0))"),0)</f>
        <v>0</v>
      </c>
      <c r="I200" s="51"/>
      <c r="J200" s="52"/>
    </row>
    <row r="201" spans="1:10" ht="13.2" x14ac:dyDescent="0.25">
      <c r="A201" s="52"/>
      <c r="B201" s="48">
        <v>5</v>
      </c>
      <c r="C201" s="49"/>
      <c r="D201" s="50"/>
      <c r="E201" s="60"/>
      <c r="F201" s="60"/>
      <c r="G201" s="60"/>
      <c r="H201" s="61">
        <f ca="1">IFERROR(__xludf.DUMMYFUNCTION("MAX(IF(REGEXMATCH(E201,""^\d{1,2},\d{2}$""),VALUE(E201),0),IF(REGEXMATCH(F201,""^\d{1,2},\d{2}$""),VALUE(F201),0),IF(REGEXMATCH(G201,""^\d{1,2},\d{2}$""),VALUE(G201),0))"),0)</f>
        <v>0</v>
      </c>
      <c r="I201" s="51"/>
      <c r="J201" s="52"/>
    </row>
    <row r="202" spans="1:10" ht="13.2" x14ac:dyDescent="0.25">
      <c r="A202" s="52"/>
      <c r="B202" s="62" t="s">
        <v>18</v>
      </c>
      <c r="C202" s="36"/>
      <c r="D202" s="44"/>
      <c r="E202" s="38"/>
      <c r="F202" s="38"/>
      <c r="G202" s="38"/>
      <c r="H202" s="63"/>
      <c r="I202" s="51"/>
      <c r="J202" s="52"/>
    </row>
    <row r="203" spans="1:10" ht="13.2" x14ac:dyDescent="0.25">
      <c r="A203" s="17"/>
      <c r="B203" s="17"/>
      <c r="D203" s="18"/>
      <c r="E203" s="18"/>
      <c r="F203" s="18"/>
      <c r="G203" s="18"/>
      <c r="H203" s="58"/>
      <c r="I203" s="21"/>
      <c r="J203" s="22"/>
    </row>
    <row r="204" spans="1:10" ht="13.2" x14ac:dyDescent="0.25">
      <c r="A204" s="17"/>
      <c r="B204" s="17"/>
      <c r="D204" s="18"/>
      <c r="E204" s="18"/>
      <c r="F204" s="18"/>
      <c r="G204" s="18"/>
      <c r="H204" s="58"/>
      <c r="I204" s="21"/>
      <c r="J204" s="22"/>
    </row>
    <row r="205" spans="1:10" ht="13.2" x14ac:dyDescent="0.25">
      <c r="A205" s="17"/>
      <c r="B205" s="17"/>
      <c r="D205" s="18"/>
      <c r="E205" s="18"/>
      <c r="F205" s="18"/>
      <c r="G205" s="18"/>
      <c r="H205" s="58"/>
      <c r="I205" s="21"/>
      <c r="J205" s="22"/>
    </row>
    <row r="206" spans="1:10" ht="13.2" x14ac:dyDescent="0.25">
      <c r="A206" s="17"/>
      <c r="B206" s="17"/>
      <c r="D206" s="18"/>
      <c r="E206" s="18"/>
      <c r="F206" s="18"/>
      <c r="G206" s="18"/>
      <c r="H206" s="58"/>
      <c r="I206" s="21"/>
      <c r="J206" s="22"/>
    </row>
    <row r="207" spans="1:10" ht="13.2" x14ac:dyDescent="0.25">
      <c r="A207" s="17"/>
      <c r="B207" s="17"/>
      <c r="D207" s="18"/>
      <c r="E207" s="18"/>
      <c r="F207" s="18"/>
      <c r="G207" s="18"/>
      <c r="H207" s="58"/>
      <c r="I207" s="21"/>
      <c r="J207" s="22"/>
    </row>
    <row r="208" spans="1:10" ht="13.2" x14ac:dyDescent="0.25">
      <c r="A208" s="17"/>
      <c r="B208" s="17"/>
      <c r="D208" s="18"/>
      <c r="E208" s="18"/>
      <c r="F208" s="18"/>
      <c r="G208" s="18"/>
      <c r="H208" s="58"/>
      <c r="I208" s="21"/>
      <c r="J208" s="22"/>
    </row>
    <row r="209" spans="1:10" ht="13.2" x14ac:dyDescent="0.25">
      <c r="A209" s="17"/>
      <c r="B209" s="17"/>
      <c r="D209" s="18"/>
      <c r="E209" s="18"/>
      <c r="F209" s="18"/>
      <c r="G209" s="18"/>
      <c r="H209" s="58"/>
      <c r="I209" s="21"/>
      <c r="J209" s="22"/>
    </row>
    <row r="210" spans="1:10" ht="13.2" x14ac:dyDescent="0.25">
      <c r="A210" s="17"/>
      <c r="B210" s="17"/>
      <c r="D210" s="18"/>
      <c r="E210" s="18"/>
      <c r="F210" s="18"/>
      <c r="G210" s="18"/>
      <c r="H210" s="58"/>
      <c r="I210" s="21"/>
      <c r="J210" s="22"/>
    </row>
    <row r="211" spans="1:10" ht="13.2" x14ac:dyDescent="0.25">
      <c r="A211" s="17"/>
      <c r="B211" s="17"/>
      <c r="D211" s="18"/>
      <c r="E211" s="18"/>
      <c r="F211" s="18"/>
      <c r="G211" s="18"/>
      <c r="H211" s="58"/>
      <c r="I211" s="21"/>
      <c r="J211" s="22"/>
    </row>
    <row r="212" spans="1:10" ht="13.2" x14ac:dyDescent="0.25">
      <c r="A212" s="17"/>
      <c r="B212" s="17"/>
      <c r="D212" s="18"/>
      <c r="E212" s="18"/>
      <c r="F212" s="18"/>
      <c r="G212" s="18"/>
      <c r="H212" s="58"/>
      <c r="I212" s="21"/>
      <c r="J212" s="22"/>
    </row>
    <row r="213" spans="1:10" ht="13.2" x14ac:dyDescent="0.25">
      <c r="A213" s="17"/>
      <c r="B213" s="17"/>
      <c r="D213" s="18"/>
      <c r="E213" s="18"/>
      <c r="F213" s="18"/>
      <c r="G213" s="18"/>
      <c r="H213" s="58"/>
      <c r="I213" s="21"/>
      <c r="J213" s="22"/>
    </row>
    <row r="214" spans="1:10" ht="13.2" x14ac:dyDescent="0.25">
      <c r="A214" s="17"/>
      <c r="B214" s="17"/>
      <c r="D214" s="18"/>
      <c r="E214" s="18"/>
      <c r="F214" s="18"/>
      <c r="G214" s="18"/>
      <c r="H214" s="58"/>
      <c r="I214" s="21"/>
      <c r="J214" s="22"/>
    </row>
    <row r="215" spans="1:10" ht="13.2" x14ac:dyDescent="0.25">
      <c r="A215" s="17"/>
      <c r="B215" s="17"/>
      <c r="D215" s="18"/>
      <c r="E215" s="18"/>
      <c r="F215" s="18"/>
      <c r="G215" s="18"/>
      <c r="H215" s="58"/>
      <c r="I215" s="21"/>
      <c r="J215" s="22"/>
    </row>
    <row r="216" spans="1:10" ht="13.2" x14ac:dyDescent="0.25">
      <c r="A216" s="17"/>
      <c r="B216" s="17"/>
      <c r="D216" s="18"/>
      <c r="E216" s="18"/>
      <c r="F216" s="18"/>
      <c r="G216" s="18"/>
      <c r="H216" s="58"/>
      <c r="I216" s="21"/>
      <c r="J216" s="22"/>
    </row>
    <row r="217" spans="1:10" ht="13.2" x14ac:dyDescent="0.25">
      <c r="A217" s="17"/>
      <c r="B217" s="17"/>
      <c r="D217" s="18"/>
      <c r="E217" s="18"/>
      <c r="F217" s="18"/>
      <c r="G217" s="18"/>
      <c r="H217" s="58"/>
      <c r="I217" s="21"/>
      <c r="J217" s="22"/>
    </row>
    <row r="218" spans="1:10" ht="13.2" x14ac:dyDescent="0.25">
      <c r="A218" s="17"/>
      <c r="B218" s="17"/>
      <c r="D218" s="18"/>
      <c r="E218" s="18"/>
      <c r="F218" s="18"/>
      <c r="G218" s="18"/>
      <c r="H218" s="58"/>
      <c r="I218" s="21"/>
      <c r="J218" s="22"/>
    </row>
    <row r="219" spans="1:10" ht="13.2" x14ac:dyDescent="0.25">
      <c r="A219" s="17"/>
      <c r="B219" s="17"/>
      <c r="D219" s="18"/>
      <c r="E219" s="18"/>
      <c r="F219" s="18"/>
      <c r="G219" s="18"/>
      <c r="H219" s="58"/>
      <c r="I219" s="21"/>
      <c r="J219" s="22"/>
    </row>
    <row r="220" spans="1:10" ht="13.2" x14ac:dyDescent="0.25">
      <c r="A220" s="17"/>
      <c r="B220" s="17"/>
      <c r="D220" s="18"/>
      <c r="E220" s="18"/>
      <c r="F220" s="18"/>
      <c r="G220" s="18"/>
      <c r="H220" s="58"/>
      <c r="I220" s="21"/>
      <c r="J220" s="22"/>
    </row>
    <row r="221" spans="1:10" ht="13.2" x14ac:dyDescent="0.25">
      <c r="A221" s="17"/>
      <c r="B221" s="17"/>
      <c r="D221" s="18"/>
      <c r="E221" s="18"/>
      <c r="F221" s="18"/>
      <c r="G221" s="18"/>
      <c r="H221" s="58"/>
      <c r="I221" s="21"/>
      <c r="J221" s="22"/>
    </row>
    <row r="222" spans="1:10" ht="13.2" x14ac:dyDescent="0.25">
      <c r="A222" s="17"/>
      <c r="B222" s="17"/>
      <c r="D222" s="18"/>
      <c r="E222" s="18"/>
      <c r="F222" s="18"/>
      <c r="G222" s="18"/>
      <c r="H222" s="58"/>
      <c r="I222" s="21"/>
      <c r="J222" s="22"/>
    </row>
    <row r="223" spans="1:10" ht="13.2" x14ac:dyDescent="0.25">
      <c r="A223" s="17"/>
      <c r="B223" s="17"/>
      <c r="D223" s="18"/>
      <c r="E223" s="18"/>
      <c r="F223" s="18"/>
      <c r="G223" s="18"/>
      <c r="H223" s="58"/>
      <c r="I223" s="21"/>
      <c r="J223" s="22"/>
    </row>
    <row r="224" spans="1:10" ht="13.2" x14ac:dyDescent="0.25">
      <c r="A224" s="17"/>
      <c r="B224" s="17"/>
      <c r="D224" s="18"/>
      <c r="E224" s="18"/>
      <c r="F224" s="18"/>
      <c r="G224" s="18"/>
      <c r="H224" s="58"/>
      <c r="I224" s="21"/>
      <c r="J224" s="22"/>
    </row>
    <row r="225" spans="1:10" ht="13.2" x14ac:dyDescent="0.25">
      <c r="A225" s="17"/>
      <c r="B225" s="17"/>
      <c r="D225" s="18"/>
      <c r="E225" s="18"/>
      <c r="F225" s="18"/>
      <c r="G225" s="18"/>
      <c r="H225" s="58"/>
      <c r="I225" s="21"/>
      <c r="J225" s="22"/>
    </row>
    <row r="226" spans="1:10" ht="13.2" x14ac:dyDescent="0.25">
      <c r="A226" s="17"/>
      <c r="B226" s="17"/>
      <c r="D226" s="18"/>
      <c r="E226" s="18"/>
      <c r="F226" s="18"/>
      <c r="G226" s="18"/>
      <c r="H226" s="58"/>
      <c r="I226" s="21"/>
      <c r="J226" s="22"/>
    </row>
    <row r="227" spans="1:10" ht="13.2" x14ac:dyDescent="0.25">
      <c r="A227" s="17"/>
      <c r="B227" s="17"/>
      <c r="D227" s="18"/>
      <c r="E227" s="18"/>
      <c r="F227" s="18"/>
      <c r="G227" s="18"/>
      <c r="H227" s="58"/>
      <c r="I227" s="21"/>
      <c r="J227" s="22"/>
    </row>
    <row r="228" spans="1:10" ht="13.2" x14ac:dyDescent="0.25">
      <c r="A228" s="17"/>
      <c r="B228" s="17"/>
      <c r="D228" s="18"/>
      <c r="E228" s="18"/>
      <c r="F228" s="18"/>
      <c r="G228" s="18"/>
      <c r="H228" s="58"/>
      <c r="I228" s="21"/>
      <c r="J228" s="22"/>
    </row>
    <row r="229" spans="1:10" ht="13.2" x14ac:dyDescent="0.25">
      <c r="A229" s="17"/>
      <c r="B229" s="17"/>
      <c r="D229" s="18"/>
      <c r="E229" s="18"/>
      <c r="F229" s="18"/>
      <c r="G229" s="18"/>
      <c r="H229" s="58"/>
      <c r="I229" s="21"/>
      <c r="J229" s="22"/>
    </row>
    <row r="230" spans="1:10" ht="13.2" x14ac:dyDescent="0.25">
      <c r="A230" s="17"/>
      <c r="B230" s="17"/>
      <c r="D230" s="18"/>
      <c r="E230" s="18"/>
      <c r="F230" s="18"/>
      <c r="G230" s="18"/>
      <c r="H230" s="58"/>
      <c r="I230" s="21"/>
      <c r="J230" s="22"/>
    </row>
    <row r="231" spans="1:10" ht="13.2" x14ac:dyDescent="0.25">
      <c r="A231" s="17"/>
      <c r="B231" s="17"/>
      <c r="D231" s="18"/>
      <c r="E231" s="18"/>
      <c r="F231" s="18"/>
      <c r="G231" s="18"/>
      <c r="H231" s="58"/>
      <c r="I231" s="21"/>
      <c r="J231" s="22"/>
    </row>
    <row r="232" spans="1:10" ht="13.2" x14ac:dyDescent="0.25">
      <c r="A232" s="17"/>
      <c r="B232" s="17"/>
      <c r="D232" s="18"/>
      <c r="E232" s="18"/>
      <c r="F232" s="18"/>
      <c r="G232" s="18"/>
      <c r="H232" s="58"/>
      <c r="I232" s="21"/>
      <c r="J232" s="22"/>
    </row>
    <row r="233" spans="1:10" ht="13.2" x14ac:dyDescent="0.25">
      <c r="A233" s="17"/>
      <c r="B233" s="17"/>
      <c r="D233" s="18"/>
      <c r="E233" s="18"/>
      <c r="F233" s="18"/>
      <c r="G233" s="18"/>
      <c r="H233" s="58"/>
      <c r="I233" s="21"/>
      <c r="J233" s="22"/>
    </row>
    <row r="234" spans="1:10" ht="13.2" x14ac:dyDescent="0.25">
      <c r="A234" s="17"/>
      <c r="B234" s="17"/>
      <c r="D234" s="18"/>
      <c r="E234" s="18"/>
      <c r="F234" s="18"/>
      <c r="G234" s="18"/>
      <c r="H234" s="58"/>
      <c r="I234" s="21"/>
      <c r="J234" s="22"/>
    </row>
    <row r="235" spans="1:10" ht="13.2" x14ac:dyDescent="0.25">
      <c r="A235" s="17"/>
      <c r="B235" s="17"/>
      <c r="D235" s="18"/>
      <c r="E235" s="18"/>
      <c r="F235" s="18"/>
      <c r="G235" s="18"/>
      <c r="H235" s="58"/>
      <c r="I235" s="21"/>
      <c r="J235" s="22"/>
    </row>
    <row r="236" spans="1:10" ht="13.2" x14ac:dyDescent="0.25">
      <c r="A236" s="17"/>
      <c r="B236" s="17"/>
      <c r="D236" s="18"/>
      <c r="E236" s="18"/>
      <c r="F236" s="18"/>
      <c r="G236" s="18"/>
      <c r="H236" s="58"/>
      <c r="I236" s="21"/>
      <c r="J236" s="22"/>
    </row>
    <row r="237" spans="1:10" ht="13.2" x14ac:dyDescent="0.25">
      <c r="A237" s="17"/>
      <c r="B237" s="17"/>
      <c r="D237" s="18"/>
      <c r="E237" s="18"/>
      <c r="F237" s="18"/>
      <c r="G237" s="18"/>
      <c r="H237" s="58"/>
      <c r="I237" s="21"/>
      <c r="J237" s="22"/>
    </row>
    <row r="238" spans="1:10" ht="13.2" x14ac:dyDescent="0.25">
      <c r="A238" s="17"/>
      <c r="B238" s="17"/>
      <c r="D238" s="18"/>
      <c r="E238" s="18"/>
      <c r="F238" s="18"/>
      <c r="G238" s="18"/>
      <c r="H238" s="58"/>
      <c r="I238" s="21"/>
      <c r="J238" s="22"/>
    </row>
    <row r="239" spans="1:10" ht="13.2" x14ac:dyDescent="0.25">
      <c r="A239" s="17"/>
      <c r="B239" s="17"/>
      <c r="D239" s="18"/>
      <c r="E239" s="18"/>
      <c r="F239" s="18"/>
      <c r="G239" s="18"/>
      <c r="H239" s="58"/>
      <c r="I239" s="21"/>
      <c r="J239" s="22"/>
    </row>
    <row r="240" spans="1:10" ht="13.2" x14ac:dyDescent="0.25">
      <c r="A240" s="17"/>
      <c r="B240" s="17"/>
      <c r="D240" s="18"/>
      <c r="E240" s="18"/>
      <c r="F240" s="18"/>
      <c r="G240" s="18"/>
      <c r="H240" s="58"/>
      <c r="I240" s="21"/>
      <c r="J240" s="22"/>
    </row>
    <row r="241" spans="1:10" ht="13.2" x14ac:dyDescent="0.25">
      <c r="A241" s="17"/>
      <c r="B241" s="17"/>
      <c r="D241" s="18"/>
      <c r="E241" s="18"/>
      <c r="F241" s="18"/>
      <c r="G241" s="18"/>
      <c r="H241" s="58"/>
      <c r="I241" s="21"/>
      <c r="J241" s="22"/>
    </row>
    <row r="242" spans="1:10" ht="13.2" x14ac:dyDescent="0.25">
      <c r="A242" s="17"/>
      <c r="B242" s="17"/>
      <c r="D242" s="18"/>
      <c r="E242" s="18"/>
      <c r="F242" s="18"/>
      <c r="G242" s="18"/>
      <c r="H242" s="58"/>
      <c r="I242" s="21"/>
      <c r="J242" s="22"/>
    </row>
    <row r="243" spans="1:10" ht="13.2" x14ac:dyDescent="0.25">
      <c r="A243" s="17"/>
      <c r="B243" s="17"/>
      <c r="D243" s="18"/>
      <c r="E243" s="18"/>
      <c r="F243" s="18"/>
      <c r="G243" s="18"/>
      <c r="H243" s="58"/>
      <c r="I243" s="21"/>
      <c r="J243" s="22"/>
    </row>
    <row r="244" spans="1:10" ht="13.2" x14ac:dyDescent="0.25">
      <c r="A244" s="17"/>
      <c r="B244" s="17"/>
      <c r="D244" s="18"/>
      <c r="E244" s="18"/>
      <c r="F244" s="18"/>
      <c r="G244" s="18"/>
      <c r="H244" s="58"/>
      <c r="I244" s="21"/>
      <c r="J244" s="22"/>
    </row>
    <row r="245" spans="1:10" ht="13.2" x14ac:dyDescent="0.25">
      <c r="A245" s="17"/>
      <c r="B245" s="17"/>
      <c r="D245" s="18"/>
      <c r="E245" s="18"/>
      <c r="F245" s="18"/>
      <c r="G245" s="18"/>
      <c r="H245" s="58"/>
      <c r="I245" s="21"/>
      <c r="J245" s="22"/>
    </row>
    <row r="246" spans="1:10" ht="13.2" x14ac:dyDescent="0.25">
      <c r="A246" s="17"/>
      <c r="B246" s="17"/>
      <c r="D246" s="18"/>
      <c r="E246" s="18"/>
      <c r="F246" s="18"/>
      <c r="G246" s="18"/>
      <c r="H246" s="58"/>
      <c r="I246" s="21"/>
      <c r="J246" s="22"/>
    </row>
    <row r="247" spans="1:10" ht="13.2" x14ac:dyDescent="0.25">
      <c r="A247" s="17"/>
      <c r="B247" s="17"/>
      <c r="D247" s="18"/>
      <c r="E247" s="18"/>
      <c r="F247" s="18"/>
      <c r="G247" s="18"/>
      <c r="H247" s="58"/>
      <c r="I247" s="21"/>
      <c r="J247" s="22"/>
    </row>
    <row r="248" spans="1:10" ht="13.2" x14ac:dyDescent="0.25">
      <c r="A248" s="17"/>
      <c r="B248" s="17"/>
      <c r="D248" s="18"/>
      <c r="E248" s="18"/>
      <c r="F248" s="18"/>
      <c r="G248" s="18"/>
      <c r="H248" s="58"/>
      <c r="I248" s="21"/>
      <c r="J248" s="22"/>
    </row>
    <row r="249" spans="1:10" ht="13.2" x14ac:dyDescent="0.25">
      <c r="A249" s="17"/>
      <c r="B249" s="17"/>
      <c r="D249" s="18"/>
      <c r="E249" s="18"/>
      <c r="F249" s="18"/>
      <c r="G249" s="18"/>
      <c r="H249" s="58"/>
      <c r="I249" s="21"/>
      <c r="J249" s="22"/>
    </row>
    <row r="250" spans="1:10" ht="13.2" x14ac:dyDescent="0.25">
      <c r="A250" s="17"/>
      <c r="B250" s="17"/>
      <c r="D250" s="18"/>
      <c r="E250" s="18"/>
      <c r="F250" s="18"/>
      <c r="G250" s="18"/>
      <c r="H250" s="58"/>
      <c r="I250" s="21"/>
      <c r="J250" s="22"/>
    </row>
    <row r="251" spans="1:10" ht="13.2" x14ac:dyDescent="0.25">
      <c r="A251" s="17"/>
      <c r="B251" s="17"/>
      <c r="D251" s="18"/>
      <c r="E251" s="18"/>
      <c r="F251" s="18"/>
      <c r="G251" s="18"/>
      <c r="H251" s="58"/>
      <c r="I251" s="21"/>
      <c r="J251" s="22"/>
    </row>
    <row r="252" spans="1:10" ht="13.2" x14ac:dyDescent="0.25">
      <c r="A252" s="17"/>
      <c r="B252" s="17"/>
      <c r="D252" s="18"/>
      <c r="E252" s="18"/>
      <c r="F252" s="18"/>
      <c r="G252" s="18"/>
      <c r="H252" s="58"/>
      <c r="I252" s="21"/>
      <c r="J252" s="22"/>
    </row>
    <row r="253" spans="1:10" ht="13.2" x14ac:dyDescent="0.25">
      <c r="A253" s="17"/>
      <c r="B253" s="17"/>
      <c r="D253" s="18"/>
      <c r="E253" s="18"/>
      <c r="F253" s="18"/>
      <c r="G253" s="18"/>
      <c r="H253" s="58"/>
      <c r="I253" s="21"/>
      <c r="J253" s="22"/>
    </row>
    <row r="254" spans="1:10" ht="13.2" x14ac:dyDescent="0.25">
      <c r="A254" s="17"/>
      <c r="B254" s="17"/>
      <c r="D254" s="18"/>
      <c r="E254" s="18"/>
      <c r="F254" s="18"/>
      <c r="G254" s="18"/>
      <c r="H254" s="58"/>
      <c r="I254" s="21"/>
      <c r="J254" s="22"/>
    </row>
    <row r="255" spans="1:10" ht="13.2" x14ac:dyDescent="0.25">
      <c r="A255" s="17"/>
      <c r="B255" s="17"/>
      <c r="D255" s="18"/>
      <c r="E255" s="18"/>
      <c r="F255" s="18"/>
      <c r="G255" s="18"/>
      <c r="H255" s="58"/>
      <c r="I255" s="21"/>
      <c r="J255" s="22"/>
    </row>
    <row r="256" spans="1:10" ht="13.2" x14ac:dyDescent="0.25">
      <c r="A256" s="17"/>
      <c r="B256" s="17"/>
      <c r="D256" s="18"/>
      <c r="E256" s="18"/>
      <c r="F256" s="18"/>
      <c r="G256" s="18"/>
      <c r="H256" s="58"/>
      <c r="I256" s="21"/>
      <c r="J256" s="22"/>
    </row>
    <row r="257" spans="1:10" ht="13.2" x14ac:dyDescent="0.25">
      <c r="A257" s="17"/>
      <c r="B257" s="17"/>
      <c r="D257" s="18"/>
      <c r="E257" s="18"/>
      <c r="F257" s="18"/>
      <c r="G257" s="18"/>
      <c r="H257" s="58"/>
      <c r="I257" s="21"/>
      <c r="J257" s="22"/>
    </row>
    <row r="258" spans="1:10" ht="13.2" x14ac:dyDescent="0.25">
      <c r="A258" s="17"/>
      <c r="B258" s="17"/>
      <c r="D258" s="18"/>
      <c r="E258" s="18"/>
      <c r="F258" s="18"/>
      <c r="G258" s="18"/>
      <c r="H258" s="58"/>
      <c r="I258" s="21"/>
      <c r="J258" s="22"/>
    </row>
    <row r="259" spans="1:10" ht="13.2" x14ac:dyDescent="0.25">
      <c r="A259" s="17"/>
      <c r="B259" s="17"/>
      <c r="D259" s="18"/>
      <c r="E259" s="18"/>
      <c r="F259" s="18"/>
      <c r="G259" s="18"/>
      <c r="H259" s="58"/>
      <c r="I259" s="21"/>
      <c r="J259" s="22"/>
    </row>
    <row r="260" spans="1:10" ht="13.2" x14ac:dyDescent="0.25">
      <c r="A260" s="17"/>
      <c r="B260" s="17"/>
      <c r="D260" s="18"/>
      <c r="E260" s="18"/>
      <c r="F260" s="18"/>
      <c r="G260" s="18"/>
      <c r="H260" s="58"/>
      <c r="I260" s="21"/>
      <c r="J260" s="22"/>
    </row>
    <row r="261" spans="1:10" ht="13.2" x14ac:dyDescent="0.25">
      <c r="A261" s="17"/>
      <c r="B261" s="17"/>
      <c r="D261" s="18"/>
      <c r="E261" s="18"/>
      <c r="F261" s="18"/>
      <c r="G261" s="18"/>
      <c r="H261" s="58"/>
      <c r="I261" s="21"/>
      <c r="J261" s="22"/>
    </row>
    <row r="262" spans="1:10" ht="13.2" x14ac:dyDescent="0.25">
      <c r="A262" s="17"/>
      <c r="B262" s="17"/>
      <c r="D262" s="18"/>
      <c r="E262" s="18"/>
      <c r="F262" s="18"/>
      <c r="G262" s="18"/>
      <c r="H262" s="58"/>
      <c r="I262" s="21"/>
      <c r="J262" s="22"/>
    </row>
    <row r="263" spans="1:10" ht="13.2" x14ac:dyDescent="0.25">
      <c r="A263" s="17"/>
      <c r="B263" s="17"/>
      <c r="D263" s="18"/>
      <c r="E263" s="18"/>
      <c r="F263" s="18"/>
      <c r="G263" s="18"/>
      <c r="H263" s="58"/>
      <c r="I263" s="21"/>
      <c r="J263" s="22"/>
    </row>
    <row r="264" spans="1:10" ht="13.2" x14ac:dyDescent="0.25">
      <c r="A264" s="17"/>
      <c r="B264" s="17"/>
      <c r="D264" s="18"/>
      <c r="E264" s="18"/>
      <c r="F264" s="18"/>
      <c r="G264" s="18"/>
      <c r="H264" s="58"/>
      <c r="I264" s="21"/>
      <c r="J264" s="22"/>
    </row>
    <row r="265" spans="1:10" ht="13.2" x14ac:dyDescent="0.25">
      <c r="A265" s="17"/>
      <c r="B265" s="17"/>
      <c r="D265" s="18"/>
      <c r="E265" s="18"/>
      <c r="F265" s="18"/>
      <c r="G265" s="18"/>
      <c r="H265" s="58"/>
      <c r="I265" s="21"/>
      <c r="J265" s="22"/>
    </row>
    <row r="266" spans="1:10" ht="13.2" x14ac:dyDescent="0.25">
      <c r="A266" s="17"/>
      <c r="B266" s="17"/>
      <c r="D266" s="18"/>
      <c r="E266" s="18"/>
      <c r="F266" s="18"/>
      <c r="G266" s="18"/>
      <c r="H266" s="58"/>
      <c r="I266" s="21"/>
      <c r="J266" s="22"/>
    </row>
    <row r="267" spans="1:10" ht="13.2" x14ac:dyDescent="0.25">
      <c r="A267" s="17"/>
      <c r="B267" s="17"/>
      <c r="D267" s="18"/>
      <c r="E267" s="18"/>
      <c r="F267" s="18"/>
      <c r="G267" s="18"/>
      <c r="H267" s="58"/>
      <c r="I267" s="21"/>
      <c r="J267" s="22"/>
    </row>
    <row r="268" spans="1:10" ht="13.2" x14ac:dyDescent="0.25">
      <c r="A268" s="17"/>
      <c r="B268" s="17"/>
      <c r="D268" s="18"/>
      <c r="E268" s="18"/>
      <c r="F268" s="18"/>
      <c r="G268" s="18"/>
      <c r="H268" s="58"/>
      <c r="I268" s="21"/>
      <c r="J268" s="22"/>
    </row>
    <row r="269" spans="1:10" ht="13.2" x14ac:dyDescent="0.25">
      <c r="A269" s="17"/>
      <c r="B269" s="17"/>
      <c r="D269" s="18"/>
      <c r="E269" s="18"/>
      <c r="F269" s="18"/>
      <c r="G269" s="18"/>
      <c r="H269" s="58"/>
      <c r="I269" s="21"/>
      <c r="J269" s="22"/>
    </row>
    <row r="270" spans="1:10" ht="13.2" x14ac:dyDescent="0.25">
      <c r="A270" s="17"/>
      <c r="B270" s="17"/>
      <c r="D270" s="18"/>
      <c r="E270" s="18"/>
      <c r="F270" s="18"/>
      <c r="G270" s="18"/>
      <c r="H270" s="58"/>
      <c r="I270" s="21"/>
      <c r="J270" s="22"/>
    </row>
    <row r="271" spans="1:10" ht="13.2" x14ac:dyDescent="0.25">
      <c r="A271" s="17"/>
      <c r="B271" s="17"/>
      <c r="D271" s="18"/>
      <c r="E271" s="18"/>
      <c r="F271" s="18"/>
      <c r="G271" s="18"/>
      <c r="H271" s="58"/>
      <c r="I271" s="21"/>
      <c r="J271" s="22"/>
    </row>
    <row r="272" spans="1:10" ht="13.2" x14ac:dyDescent="0.25">
      <c r="A272" s="17"/>
      <c r="B272" s="17"/>
      <c r="D272" s="18"/>
      <c r="E272" s="18"/>
      <c r="F272" s="18"/>
      <c r="G272" s="18"/>
      <c r="H272" s="58"/>
      <c r="I272" s="21"/>
      <c r="J272" s="22"/>
    </row>
    <row r="273" spans="1:10" ht="13.2" x14ac:dyDescent="0.25">
      <c r="A273" s="17"/>
      <c r="B273" s="17"/>
      <c r="D273" s="18"/>
      <c r="E273" s="18"/>
      <c r="F273" s="18"/>
      <c r="G273" s="18"/>
      <c r="H273" s="58"/>
      <c r="I273" s="21"/>
      <c r="J273" s="22"/>
    </row>
    <row r="274" spans="1:10" ht="13.2" x14ac:dyDescent="0.25">
      <c r="A274" s="17"/>
      <c r="B274" s="17"/>
      <c r="D274" s="18"/>
      <c r="E274" s="18"/>
      <c r="F274" s="18"/>
      <c r="G274" s="18"/>
      <c r="H274" s="58"/>
      <c r="I274" s="21"/>
      <c r="J274" s="22"/>
    </row>
    <row r="275" spans="1:10" ht="13.2" x14ac:dyDescent="0.25">
      <c r="A275" s="17"/>
      <c r="B275" s="17"/>
      <c r="D275" s="18"/>
      <c r="E275" s="18"/>
      <c r="F275" s="18"/>
      <c r="G275" s="18"/>
      <c r="H275" s="58"/>
      <c r="I275" s="21"/>
      <c r="J275" s="22"/>
    </row>
    <row r="276" spans="1:10" ht="13.2" x14ac:dyDescent="0.25">
      <c r="A276" s="17"/>
      <c r="B276" s="17"/>
      <c r="D276" s="18"/>
      <c r="E276" s="18"/>
      <c r="F276" s="18"/>
      <c r="G276" s="18"/>
      <c r="H276" s="58"/>
      <c r="I276" s="21"/>
      <c r="J276" s="22"/>
    </row>
    <row r="277" spans="1:10" ht="13.2" x14ac:dyDescent="0.25">
      <c r="A277" s="17"/>
      <c r="B277" s="17"/>
      <c r="D277" s="18"/>
      <c r="E277" s="18"/>
      <c r="F277" s="18"/>
      <c r="G277" s="18"/>
      <c r="H277" s="58"/>
      <c r="I277" s="21"/>
      <c r="J277" s="22"/>
    </row>
    <row r="278" spans="1:10" ht="13.2" x14ac:dyDescent="0.25">
      <c r="A278" s="17"/>
      <c r="B278" s="17"/>
      <c r="D278" s="18"/>
      <c r="E278" s="18"/>
      <c r="F278" s="18"/>
      <c r="G278" s="18"/>
      <c r="H278" s="58"/>
      <c r="I278" s="21"/>
      <c r="J278" s="22"/>
    </row>
    <row r="279" spans="1:10" ht="13.2" x14ac:dyDescent="0.25">
      <c r="A279" s="17"/>
      <c r="B279" s="17"/>
      <c r="D279" s="18"/>
      <c r="E279" s="18"/>
      <c r="F279" s="18"/>
      <c r="G279" s="18"/>
      <c r="H279" s="58"/>
      <c r="I279" s="21"/>
      <c r="J279" s="22"/>
    </row>
    <row r="280" spans="1:10" ht="13.2" x14ac:dyDescent="0.25">
      <c r="A280" s="17"/>
      <c r="B280" s="17"/>
      <c r="D280" s="18"/>
      <c r="E280" s="18"/>
      <c r="F280" s="18"/>
      <c r="G280" s="18"/>
      <c r="H280" s="58"/>
      <c r="I280" s="21"/>
      <c r="J280" s="22"/>
    </row>
    <row r="281" spans="1:10" ht="13.2" x14ac:dyDescent="0.25">
      <c r="A281" s="17"/>
      <c r="B281" s="17"/>
      <c r="D281" s="18"/>
      <c r="E281" s="18"/>
      <c r="F281" s="18"/>
      <c r="G281" s="18"/>
      <c r="H281" s="58"/>
      <c r="I281" s="21"/>
      <c r="J281" s="22"/>
    </row>
    <row r="282" spans="1:10" ht="13.2" x14ac:dyDescent="0.25">
      <c r="A282" s="17"/>
      <c r="B282" s="17"/>
      <c r="D282" s="18"/>
      <c r="E282" s="18"/>
      <c r="F282" s="18"/>
      <c r="G282" s="18"/>
      <c r="H282" s="58"/>
      <c r="I282" s="21"/>
      <c r="J282" s="22"/>
    </row>
    <row r="283" spans="1:10" ht="13.2" x14ac:dyDescent="0.25">
      <c r="A283" s="17"/>
      <c r="B283" s="17"/>
      <c r="D283" s="18"/>
      <c r="E283" s="18"/>
      <c r="F283" s="18"/>
      <c r="G283" s="18"/>
      <c r="H283" s="58"/>
      <c r="I283" s="21"/>
      <c r="J283" s="22"/>
    </row>
    <row r="284" spans="1:10" ht="13.2" x14ac:dyDescent="0.25">
      <c r="A284" s="17"/>
      <c r="B284" s="17"/>
      <c r="D284" s="18"/>
      <c r="E284" s="18"/>
      <c r="F284" s="18"/>
      <c r="G284" s="18"/>
      <c r="H284" s="58"/>
      <c r="I284" s="21"/>
      <c r="J284" s="22"/>
    </row>
    <row r="285" spans="1:10" ht="13.2" x14ac:dyDescent="0.25">
      <c r="A285" s="17"/>
      <c r="B285" s="17"/>
      <c r="D285" s="18"/>
      <c r="E285" s="18"/>
      <c r="F285" s="18"/>
      <c r="G285" s="18"/>
      <c r="H285" s="58"/>
      <c r="I285" s="21"/>
      <c r="J285" s="22"/>
    </row>
    <row r="286" spans="1:10" ht="13.2" x14ac:dyDescent="0.25">
      <c r="A286" s="17"/>
      <c r="B286" s="17"/>
      <c r="D286" s="18"/>
      <c r="E286" s="18"/>
      <c r="F286" s="18"/>
      <c r="G286" s="18"/>
      <c r="H286" s="58"/>
      <c r="I286" s="21"/>
      <c r="J286" s="22"/>
    </row>
    <row r="287" spans="1:10" ht="13.2" x14ac:dyDescent="0.25">
      <c r="A287" s="17"/>
      <c r="B287" s="17"/>
      <c r="D287" s="18"/>
      <c r="E287" s="18"/>
      <c r="F287" s="18"/>
      <c r="G287" s="18"/>
      <c r="H287" s="58"/>
      <c r="I287" s="21"/>
      <c r="J287" s="22"/>
    </row>
    <row r="288" spans="1:10" ht="13.2" x14ac:dyDescent="0.25">
      <c r="A288" s="17"/>
      <c r="B288" s="17"/>
      <c r="D288" s="18"/>
      <c r="E288" s="18"/>
      <c r="F288" s="18"/>
      <c r="G288" s="18"/>
      <c r="H288" s="58"/>
      <c r="I288" s="21"/>
      <c r="J288" s="22"/>
    </row>
    <row r="289" spans="1:10" ht="13.2" x14ac:dyDescent="0.25">
      <c r="A289" s="17"/>
      <c r="B289" s="17"/>
      <c r="D289" s="18"/>
      <c r="E289" s="18"/>
      <c r="F289" s="18"/>
      <c r="G289" s="18"/>
      <c r="H289" s="58"/>
      <c r="I289" s="21"/>
      <c r="J289" s="22"/>
    </row>
    <row r="290" spans="1:10" ht="13.2" x14ac:dyDescent="0.25">
      <c r="A290" s="17"/>
      <c r="B290" s="17"/>
      <c r="D290" s="18"/>
      <c r="E290" s="18"/>
      <c r="F290" s="18"/>
      <c r="G290" s="18"/>
      <c r="H290" s="58"/>
      <c r="I290" s="21"/>
      <c r="J290" s="22"/>
    </row>
    <row r="291" spans="1:10" ht="13.2" x14ac:dyDescent="0.25">
      <c r="A291" s="17"/>
      <c r="B291" s="17"/>
      <c r="D291" s="18"/>
      <c r="E291" s="18"/>
      <c r="F291" s="18"/>
      <c r="G291" s="18"/>
      <c r="H291" s="58"/>
      <c r="I291" s="21"/>
      <c r="J291" s="22"/>
    </row>
    <row r="292" spans="1:10" ht="13.2" x14ac:dyDescent="0.25">
      <c r="A292" s="17"/>
      <c r="B292" s="17"/>
      <c r="D292" s="18"/>
      <c r="E292" s="18"/>
      <c r="F292" s="18"/>
      <c r="G292" s="18"/>
      <c r="H292" s="58"/>
      <c r="I292" s="21"/>
      <c r="J292" s="22"/>
    </row>
    <row r="293" spans="1:10" ht="13.2" x14ac:dyDescent="0.25">
      <c r="A293" s="17"/>
      <c r="B293" s="17"/>
      <c r="D293" s="18"/>
      <c r="E293" s="18"/>
      <c r="F293" s="18"/>
      <c r="G293" s="18"/>
      <c r="H293" s="58"/>
      <c r="I293" s="21"/>
      <c r="J293" s="22"/>
    </row>
    <row r="294" spans="1:10" ht="13.2" x14ac:dyDescent="0.25">
      <c r="A294" s="17"/>
      <c r="B294" s="17"/>
      <c r="D294" s="18"/>
      <c r="E294" s="18"/>
      <c r="F294" s="18"/>
      <c r="G294" s="18"/>
      <c r="H294" s="58"/>
      <c r="I294" s="21"/>
      <c r="J294" s="22"/>
    </row>
    <row r="295" spans="1:10" ht="13.2" x14ac:dyDescent="0.25">
      <c r="A295" s="17"/>
      <c r="B295" s="17"/>
      <c r="D295" s="18"/>
      <c r="E295" s="18"/>
      <c r="F295" s="18"/>
      <c r="G295" s="18"/>
      <c r="H295" s="58"/>
      <c r="I295" s="21"/>
      <c r="J295" s="22"/>
    </row>
    <row r="296" spans="1:10" ht="13.2" x14ac:dyDescent="0.25">
      <c r="A296" s="17"/>
      <c r="B296" s="17"/>
      <c r="D296" s="18"/>
      <c r="E296" s="18"/>
      <c r="F296" s="18"/>
      <c r="G296" s="18"/>
      <c r="H296" s="58"/>
      <c r="I296" s="21"/>
      <c r="J296" s="22"/>
    </row>
    <row r="297" spans="1:10" ht="13.2" x14ac:dyDescent="0.25">
      <c r="A297" s="17"/>
      <c r="B297" s="17"/>
      <c r="D297" s="18"/>
      <c r="E297" s="18"/>
      <c r="F297" s="18"/>
      <c r="G297" s="18"/>
      <c r="H297" s="58"/>
      <c r="I297" s="21"/>
      <c r="J297" s="22"/>
    </row>
    <row r="298" spans="1:10" ht="13.2" x14ac:dyDescent="0.25">
      <c r="A298" s="17"/>
      <c r="B298" s="17"/>
      <c r="D298" s="18"/>
      <c r="E298" s="18"/>
      <c r="F298" s="18"/>
      <c r="G298" s="18"/>
      <c r="H298" s="58"/>
      <c r="I298" s="21"/>
      <c r="J298" s="22"/>
    </row>
    <row r="299" spans="1:10" ht="13.2" x14ac:dyDescent="0.25">
      <c r="A299" s="17"/>
      <c r="B299" s="17"/>
      <c r="D299" s="18"/>
      <c r="E299" s="18"/>
      <c r="F299" s="18"/>
      <c r="G299" s="18"/>
      <c r="H299" s="58"/>
      <c r="I299" s="21"/>
      <c r="J299" s="22"/>
    </row>
    <row r="300" spans="1:10" ht="13.2" x14ac:dyDescent="0.25">
      <c r="A300" s="17"/>
      <c r="B300" s="17"/>
      <c r="D300" s="18"/>
      <c r="E300" s="18"/>
      <c r="F300" s="18"/>
      <c r="G300" s="18"/>
      <c r="H300" s="58"/>
      <c r="I300" s="21"/>
      <c r="J300" s="22"/>
    </row>
    <row r="301" spans="1:10" ht="13.2" x14ac:dyDescent="0.25">
      <c r="A301" s="17"/>
      <c r="B301" s="17"/>
      <c r="D301" s="18"/>
      <c r="E301" s="18"/>
      <c r="F301" s="18"/>
      <c r="G301" s="18"/>
      <c r="H301" s="58"/>
      <c r="I301" s="21"/>
      <c r="J301" s="22"/>
    </row>
    <row r="302" spans="1:10" ht="13.2" x14ac:dyDescent="0.25">
      <c r="A302" s="17"/>
      <c r="B302" s="17"/>
      <c r="D302" s="18"/>
      <c r="E302" s="18"/>
      <c r="F302" s="18"/>
      <c r="G302" s="18"/>
      <c r="H302" s="58"/>
      <c r="I302" s="21"/>
      <c r="J302" s="22"/>
    </row>
    <row r="303" spans="1:10" ht="13.2" x14ac:dyDescent="0.25">
      <c r="A303" s="17"/>
      <c r="B303" s="17"/>
      <c r="D303" s="18"/>
      <c r="E303" s="18"/>
      <c r="F303" s="18"/>
      <c r="G303" s="18"/>
      <c r="H303" s="58"/>
      <c r="I303" s="21"/>
      <c r="J303" s="22"/>
    </row>
    <row r="304" spans="1:10" ht="13.2" x14ac:dyDescent="0.25">
      <c r="A304" s="17"/>
      <c r="B304" s="17"/>
      <c r="D304" s="18"/>
      <c r="E304" s="18"/>
      <c r="F304" s="18"/>
      <c r="G304" s="18"/>
      <c r="H304" s="58"/>
      <c r="I304" s="21"/>
      <c r="J304" s="22"/>
    </row>
    <row r="305" spans="1:10" ht="13.2" x14ac:dyDescent="0.25">
      <c r="A305" s="17"/>
      <c r="B305" s="17"/>
      <c r="D305" s="18"/>
      <c r="E305" s="18"/>
      <c r="F305" s="18"/>
      <c r="G305" s="18"/>
      <c r="H305" s="58"/>
      <c r="I305" s="21"/>
      <c r="J305" s="22"/>
    </row>
    <row r="306" spans="1:10" ht="13.2" x14ac:dyDescent="0.25">
      <c r="A306" s="17"/>
      <c r="B306" s="17"/>
      <c r="D306" s="18"/>
      <c r="E306" s="18"/>
      <c r="F306" s="18"/>
      <c r="G306" s="18"/>
      <c r="H306" s="58"/>
      <c r="I306" s="21"/>
      <c r="J306" s="22"/>
    </row>
    <row r="307" spans="1:10" ht="13.2" x14ac:dyDescent="0.25">
      <c r="A307" s="17"/>
      <c r="B307" s="17"/>
      <c r="D307" s="18"/>
      <c r="E307" s="18"/>
      <c r="F307" s="18"/>
      <c r="G307" s="18"/>
      <c r="H307" s="58"/>
      <c r="I307" s="21"/>
      <c r="J307" s="22"/>
    </row>
    <row r="308" spans="1:10" ht="13.2" x14ac:dyDescent="0.25">
      <c r="A308" s="17"/>
      <c r="B308" s="17"/>
      <c r="D308" s="18"/>
      <c r="E308" s="18"/>
      <c r="F308" s="18"/>
      <c r="G308" s="18"/>
      <c r="H308" s="58"/>
      <c r="I308" s="21"/>
      <c r="J308" s="22"/>
    </row>
    <row r="309" spans="1:10" ht="13.2" x14ac:dyDescent="0.25">
      <c r="A309" s="17"/>
      <c r="B309" s="17"/>
      <c r="D309" s="18"/>
      <c r="E309" s="18"/>
      <c r="F309" s="18"/>
      <c r="G309" s="18"/>
      <c r="H309" s="58"/>
      <c r="I309" s="21"/>
      <c r="J309" s="22"/>
    </row>
    <row r="310" spans="1:10" ht="13.2" x14ac:dyDescent="0.25">
      <c r="A310" s="17"/>
      <c r="B310" s="17"/>
      <c r="D310" s="18"/>
      <c r="E310" s="18"/>
      <c r="F310" s="18"/>
      <c r="G310" s="18"/>
      <c r="H310" s="58"/>
      <c r="I310" s="21"/>
      <c r="J310" s="22"/>
    </row>
    <row r="311" spans="1:10" ht="13.2" x14ac:dyDescent="0.25">
      <c r="A311" s="17"/>
      <c r="B311" s="17"/>
      <c r="D311" s="18"/>
      <c r="E311" s="18"/>
      <c r="F311" s="18"/>
      <c r="G311" s="18"/>
      <c r="H311" s="58"/>
      <c r="I311" s="21"/>
      <c r="J311" s="22"/>
    </row>
    <row r="312" spans="1:10" ht="13.2" x14ac:dyDescent="0.25">
      <c r="A312" s="17"/>
      <c r="B312" s="17"/>
      <c r="D312" s="18"/>
      <c r="E312" s="18"/>
      <c r="F312" s="18"/>
      <c r="G312" s="18"/>
      <c r="H312" s="58"/>
      <c r="I312" s="21"/>
      <c r="J312" s="22"/>
    </row>
    <row r="313" spans="1:10" ht="13.2" x14ac:dyDescent="0.25">
      <c r="A313" s="17"/>
      <c r="B313" s="17"/>
      <c r="D313" s="18"/>
      <c r="E313" s="18"/>
      <c r="F313" s="18"/>
      <c r="G313" s="18"/>
      <c r="H313" s="58"/>
      <c r="I313" s="21"/>
      <c r="J313" s="22"/>
    </row>
    <row r="314" spans="1:10" ht="13.2" x14ac:dyDescent="0.25">
      <c r="A314" s="17"/>
      <c r="B314" s="17"/>
      <c r="D314" s="18"/>
      <c r="E314" s="18"/>
      <c r="F314" s="18"/>
      <c r="G314" s="18"/>
      <c r="H314" s="58"/>
      <c r="I314" s="21"/>
      <c r="J314" s="22"/>
    </row>
    <row r="315" spans="1:10" ht="13.2" x14ac:dyDescent="0.25">
      <c r="A315" s="17"/>
      <c r="B315" s="17"/>
      <c r="D315" s="18"/>
      <c r="E315" s="18"/>
      <c r="F315" s="18"/>
      <c r="G315" s="18"/>
      <c r="H315" s="58"/>
      <c r="I315" s="21"/>
      <c r="J315" s="22"/>
    </row>
    <row r="316" spans="1:10" ht="13.2" x14ac:dyDescent="0.25">
      <c r="A316" s="17"/>
      <c r="B316" s="17"/>
      <c r="D316" s="18"/>
      <c r="E316" s="18"/>
      <c r="F316" s="18"/>
      <c r="G316" s="18"/>
      <c r="H316" s="58"/>
      <c r="I316" s="21"/>
      <c r="J316" s="22"/>
    </row>
    <row r="317" spans="1:10" ht="13.2" x14ac:dyDescent="0.25">
      <c r="A317" s="17"/>
      <c r="B317" s="17"/>
      <c r="D317" s="18"/>
      <c r="E317" s="18"/>
      <c r="F317" s="18"/>
      <c r="G317" s="18"/>
      <c r="H317" s="58"/>
      <c r="I317" s="21"/>
      <c r="J317" s="22"/>
    </row>
    <row r="318" spans="1:10" ht="13.2" x14ac:dyDescent="0.25">
      <c r="A318" s="17"/>
      <c r="B318" s="17"/>
      <c r="D318" s="18"/>
      <c r="E318" s="18"/>
      <c r="F318" s="18"/>
      <c r="G318" s="18"/>
      <c r="H318" s="58"/>
      <c r="I318" s="21"/>
      <c r="J318" s="22"/>
    </row>
    <row r="319" spans="1:10" ht="13.2" x14ac:dyDescent="0.25">
      <c r="A319" s="17"/>
      <c r="B319" s="17"/>
      <c r="D319" s="18"/>
      <c r="E319" s="18"/>
      <c r="F319" s="18"/>
      <c r="G319" s="18"/>
      <c r="H319" s="58"/>
      <c r="I319" s="21"/>
      <c r="J319" s="22"/>
    </row>
    <row r="320" spans="1:10" ht="13.2" x14ac:dyDescent="0.25">
      <c r="A320" s="17"/>
      <c r="B320" s="17"/>
      <c r="D320" s="18"/>
      <c r="E320" s="18"/>
      <c r="F320" s="18"/>
      <c r="G320" s="18"/>
      <c r="H320" s="58"/>
      <c r="I320" s="21"/>
      <c r="J320" s="22"/>
    </row>
    <row r="321" spans="1:10" ht="13.2" x14ac:dyDescent="0.25">
      <c r="A321" s="17"/>
      <c r="B321" s="17"/>
      <c r="D321" s="18"/>
      <c r="E321" s="18"/>
      <c r="F321" s="18"/>
      <c r="G321" s="18"/>
      <c r="H321" s="58"/>
      <c r="I321" s="21"/>
      <c r="J321" s="22"/>
    </row>
    <row r="322" spans="1:10" ht="13.2" x14ac:dyDescent="0.25">
      <c r="A322" s="17"/>
      <c r="B322" s="17"/>
      <c r="D322" s="18"/>
      <c r="E322" s="18"/>
      <c r="F322" s="18"/>
      <c r="G322" s="18"/>
      <c r="H322" s="58"/>
      <c r="I322" s="21"/>
      <c r="J322" s="22"/>
    </row>
    <row r="323" spans="1:10" ht="13.2" x14ac:dyDescent="0.25">
      <c r="A323" s="17"/>
      <c r="B323" s="17"/>
      <c r="D323" s="18"/>
      <c r="E323" s="18"/>
      <c r="F323" s="18"/>
      <c r="G323" s="18"/>
      <c r="H323" s="58"/>
      <c r="I323" s="21"/>
      <c r="J323" s="22"/>
    </row>
    <row r="324" spans="1:10" ht="13.2" x14ac:dyDescent="0.25">
      <c r="A324" s="17"/>
      <c r="B324" s="17"/>
      <c r="D324" s="18"/>
      <c r="E324" s="18"/>
      <c r="F324" s="18"/>
      <c r="G324" s="18"/>
      <c r="H324" s="58"/>
      <c r="I324" s="21"/>
      <c r="J324" s="22"/>
    </row>
    <row r="325" spans="1:10" ht="13.2" x14ac:dyDescent="0.25">
      <c r="A325" s="17"/>
      <c r="B325" s="17"/>
      <c r="D325" s="18"/>
      <c r="E325" s="18"/>
      <c r="F325" s="18"/>
      <c r="G325" s="18"/>
      <c r="H325" s="58"/>
      <c r="I325" s="21"/>
      <c r="J325" s="22"/>
    </row>
    <row r="326" spans="1:10" ht="13.2" x14ac:dyDescent="0.25">
      <c r="A326" s="17"/>
      <c r="B326" s="17"/>
      <c r="D326" s="18"/>
      <c r="E326" s="18"/>
      <c r="F326" s="18"/>
      <c r="G326" s="18"/>
      <c r="H326" s="58"/>
      <c r="I326" s="21"/>
      <c r="J326" s="22"/>
    </row>
    <row r="327" spans="1:10" ht="13.2" x14ac:dyDescent="0.25">
      <c r="A327" s="17"/>
      <c r="B327" s="17"/>
      <c r="D327" s="18"/>
      <c r="E327" s="18"/>
      <c r="F327" s="18"/>
      <c r="G327" s="18"/>
      <c r="H327" s="58"/>
      <c r="I327" s="21"/>
      <c r="J327" s="22"/>
    </row>
    <row r="328" spans="1:10" ht="13.2" x14ac:dyDescent="0.25">
      <c r="A328" s="17"/>
      <c r="B328" s="17"/>
      <c r="D328" s="18"/>
      <c r="E328" s="18"/>
      <c r="F328" s="18"/>
      <c r="G328" s="18"/>
      <c r="H328" s="58"/>
      <c r="I328" s="21"/>
      <c r="J328" s="22"/>
    </row>
    <row r="329" spans="1:10" ht="13.2" x14ac:dyDescent="0.25">
      <c r="A329" s="17"/>
      <c r="B329" s="17"/>
      <c r="D329" s="18"/>
      <c r="E329" s="18"/>
      <c r="F329" s="18"/>
      <c r="G329" s="18"/>
      <c r="H329" s="58"/>
      <c r="I329" s="21"/>
      <c r="J329" s="22"/>
    </row>
    <row r="330" spans="1:10" ht="13.2" x14ac:dyDescent="0.25">
      <c r="A330" s="17"/>
      <c r="B330" s="17"/>
      <c r="D330" s="18"/>
      <c r="E330" s="18"/>
      <c r="F330" s="18"/>
      <c r="G330" s="18"/>
      <c r="H330" s="58"/>
      <c r="I330" s="21"/>
      <c r="J330" s="22"/>
    </row>
    <row r="331" spans="1:10" ht="13.2" x14ac:dyDescent="0.25">
      <c r="A331" s="17"/>
      <c r="B331" s="17"/>
      <c r="D331" s="18"/>
      <c r="E331" s="18"/>
      <c r="F331" s="18"/>
      <c r="G331" s="18"/>
      <c r="H331" s="58"/>
      <c r="I331" s="21"/>
      <c r="J331" s="22"/>
    </row>
    <row r="332" spans="1:10" ht="13.2" x14ac:dyDescent="0.25">
      <c r="A332" s="17"/>
      <c r="B332" s="17"/>
      <c r="D332" s="18"/>
      <c r="E332" s="18"/>
      <c r="F332" s="18"/>
      <c r="G332" s="18"/>
      <c r="H332" s="58"/>
      <c r="I332" s="21"/>
      <c r="J332" s="22"/>
    </row>
    <row r="333" spans="1:10" ht="13.2" x14ac:dyDescent="0.25">
      <c r="A333" s="17"/>
      <c r="B333" s="17"/>
      <c r="D333" s="18"/>
      <c r="E333" s="18"/>
      <c r="F333" s="18"/>
      <c r="G333" s="18"/>
      <c r="H333" s="58"/>
      <c r="I333" s="21"/>
      <c r="J333" s="22"/>
    </row>
    <row r="334" spans="1:10" ht="13.2" x14ac:dyDescent="0.25">
      <c r="A334" s="17"/>
      <c r="B334" s="17"/>
      <c r="D334" s="18"/>
      <c r="E334" s="18"/>
      <c r="F334" s="18"/>
      <c r="G334" s="18"/>
      <c r="H334" s="58"/>
      <c r="I334" s="21"/>
      <c r="J334" s="22"/>
    </row>
    <row r="335" spans="1:10" ht="13.2" x14ac:dyDescent="0.25">
      <c r="A335" s="17"/>
      <c r="B335" s="17"/>
      <c r="D335" s="18"/>
      <c r="E335" s="18"/>
      <c r="F335" s="18"/>
      <c r="G335" s="18"/>
      <c r="H335" s="58"/>
      <c r="I335" s="21"/>
      <c r="J335" s="22"/>
    </row>
    <row r="336" spans="1:10" ht="13.2" x14ac:dyDescent="0.25">
      <c r="A336" s="17"/>
      <c r="B336" s="17"/>
      <c r="D336" s="18"/>
      <c r="E336" s="18"/>
      <c r="F336" s="18"/>
      <c r="G336" s="18"/>
      <c r="H336" s="58"/>
      <c r="I336" s="21"/>
      <c r="J336" s="22"/>
    </row>
    <row r="337" spans="1:10" ht="13.2" x14ac:dyDescent="0.25">
      <c r="A337" s="17"/>
      <c r="B337" s="17"/>
      <c r="D337" s="18"/>
      <c r="E337" s="18"/>
      <c r="F337" s="18"/>
      <c r="G337" s="18"/>
      <c r="H337" s="58"/>
      <c r="I337" s="21"/>
      <c r="J337" s="22"/>
    </row>
    <row r="338" spans="1:10" ht="13.2" x14ac:dyDescent="0.25">
      <c r="A338" s="17"/>
      <c r="B338" s="17"/>
      <c r="D338" s="18"/>
      <c r="E338" s="18"/>
      <c r="F338" s="18"/>
      <c r="G338" s="18"/>
      <c r="H338" s="58"/>
      <c r="I338" s="21"/>
      <c r="J338" s="22"/>
    </row>
    <row r="339" spans="1:10" ht="13.2" x14ac:dyDescent="0.25">
      <c r="A339" s="17"/>
      <c r="B339" s="17"/>
      <c r="D339" s="18"/>
      <c r="E339" s="18"/>
      <c r="F339" s="18"/>
      <c r="G339" s="18"/>
      <c r="H339" s="58"/>
      <c r="I339" s="21"/>
      <c r="J339" s="22"/>
    </row>
    <row r="340" spans="1:10" ht="13.2" x14ac:dyDescent="0.25">
      <c r="A340" s="17"/>
      <c r="B340" s="17"/>
      <c r="D340" s="18"/>
      <c r="E340" s="18"/>
      <c r="F340" s="18"/>
      <c r="G340" s="18"/>
      <c r="H340" s="58"/>
      <c r="I340" s="21"/>
      <c r="J340" s="22"/>
    </row>
    <row r="341" spans="1:10" ht="13.2" x14ac:dyDescent="0.25">
      <c r="A341" s="17"/>
      <c r="B341" s="17"/>
      <c r="D341" s="18"/>
      <c r="E341" s="18"/>
      <c r="F341" s="18"/>
      <c r="G341" s="18"/>
      <c r="H341" s="58"/>
      <c r="I341" s="21"/>
      <c r="J341" s="22"/>
    </row>
    <row r="342" spans="1:10" ht="13.2" x14ac:dyDescent="0.25">
      <c r="A342" s="17"/>
      <c r="B342" s="17"/>
      <c r="D342" s="18"/>
      <c r="E342" s="18"/>
      <c r="F342" s="18"/>
      <c r="G342" s="18"/>
      <c r="H342" s="58"/>
      <c r="I342" s="21"/>
      <c r="J342" s="22"/>
    </row>
    <row r="343" spans="1:10" ht="13.2" x14ac:dyDescent="0.25">
      <c r="A343" s="17"/>
      <c r="B343" s="17"/>
      <c r="D343" s="18"/>
      <c r="E343" s="18"/>
      <c r="F343" s="18"/>
      <c r="G343" s="18"/>
      <c r="H343" s="58"/>
      <c r="I343" s="21"/>
      <c r="J343" s="22"/>
    </row>
    <row r="344" spans="1:10" ht="13.2" x14ac:dyDescent="0.25">
      <c r="A344" s="17"/>
      <c r="B344" s="17"/>
      <c r="D344" s="18"/>
      <c r="E344" s="18"/>
      <c r="F344" s="18"/>
      <c r="G344" s="18"/>
      <c r="H344" s="58"/>
      <c r="I344" s="21"/>
      <c r="J344" s="22"/>
    </row>
    <row r="345" spans="1:10" ht="13.2" x14ac:dyDescent="0.25">
      <c r="A345" s="17"/>
      <c r="B345" s="17"/>
      <c r="D345" s="18"/>
      <c r="E345" s="18"/>
      <c r="F345" s="18"/>
      <c r="G345" s="18"/>
      <c r="H345" s="58"/>
      <c r="I345" s="21"/>
      <c r="J345" s="22"/>
    </row>
    <row r="346" spans="1:10" ht="13.2" x14ac:dyDescent="0.25">
      <c r="A346" s="17"/>
      <c r="B346" s="17"/>
      <c r="D346" s="18"/>
      <c r="E346" s="18"/>
      <c r="F346" s="18"/>
      <c r="G346" s="18"/>
      <c r="H346" s="58"/>
      <c r="I346" s="21"/>
      <c r="J346" s="22"/>
    </row>
    <row r="347" spans="1:10" ht="13.2" x14ac:dyDescent="0.25">
      <c r="A347" s="17"/>
      <c r="B347" s="17"/>
      <c r="D347" s="18"/>
      <c r="E347" s="18"/>
      <c r="F347" s="18"/>
      <c r="G347" s="18"/>
      <c r="H347" s="58"/>
      <c r="I347" s="21"/>
      <c r="J347" s="22"/>
    </row>
    <row r="348" spans="1:10" ht="13.2" x14ac:dyDescent="0.25">
      <c r="A348" s="17"/>
      <c r="B348" s="17"/>
      <c r="D348" s="18"/>
      <c r="E348" s="18"/>
      <c r="F348" s="18"/>
      <c r="G348" s="18"/>
      <c r="H348" s="58"/>
      <c r="I348" s="21"/>
      <c r="J348" s="22"/>
    </row>
    <row r="349" spans="1:10" ht="13.2" x14ac:dyDescent="0.25">
      <c r="A349" s="17"/>
      <c r="B349" s="17"/>
      <c r="D349" s="18"/>
      <c r="E349" s="18"/>
      <c r="F349" s="18"/>
      <c r="G349" s="18"/>
      <c r="H349" s="58"/>
      <c r="I349" s="21"/>
      <c r="J349" s="22"/>
    </row>
    <row r="350" spans="1:10" ht="13.2" x14ac:dyDescent="0.25">
      <c r="A350" s="17"/>
      <c r="B350" s="17"/>
      <c r="D350" s="18"/>
      <c r="E350" s="18"/>
      <c r="F350" s="18"/>
      <c r="G350" s="18"/>
      <c r="H350" s="58"/>
      <c r="I350" s="21"/>
      <c r="J350" s="22"/>
    </row>
    <row r="351" spans="1:10" ht="13.2" x14ac:dyDescent="0.25">
      <c r="A351" s="17"/>
      <c r="B351" s="17"/>
      <c r="D351" s="18"/>
      <c r="E351" s="18"/>
      <c r="F351" s="18"/>
      <c r="G351" s="18"/>
      <c r="H351" s="58"/>
      <c r="I351" s="21"/>
      <c r="J351" s="22"/>
    </row>
    <row r="352" spans="1:10" ht="13.2" x14ac:dyDescent="0.25">
      <c r="A352" s="17"/>
      <c r="B352" s="17"/>
      <c r="D352" s="18"/>
      <c r="E352" s="18"/>
      <c r="F352" s="18"/>
      <c r="G352" s="18"/>
      <c r="H352" s="58"/>
      <c r="I352" s="21"/>
      <c r="J352" s="22"/>
    </row>
    <row r="353" spans="1:10" ht="13.2" x14ac:dyDescent="0.25">
      <c r="A353" s="17"/>
      <c r="B353" s="17"/>
      <c r="D353" s="18"/>
      <c r="E353" s="18"/>
      <c r="F353" s="18"/>
      <c r="G353" s="18"/>
      <c r="H353" s="58"/>
      <c r="I353" s="21"/>
      <c r="J353" s="22"/>
    </row>
    <row r="354" spans="1:10" ht="13.2" x14ac:dyDescent="0.25">
      <c r="A354" s="17"/>
      <c r="B354" s="17"/>
      <c r="D354" s="18"/>
      <c r="E354" s="18"/>
      <c r="F354" s="18"/>
      <c r="G354" s="18"/>
      <c r="H354" s="58"/>
      <c r="I354" s="21"/>
      <c r="J354" s="22"/>
    </row>
    <row r="355" spans="1:10" ht="13.2" x14ac:dyDescent="0.25">
      <c r="A355" s="17"/>
      <c r="B355" s="17"/>
      <c r="D355" s="18"/>
      <c r="E355" s="18"/>
      <c r="F355" s="18"/>
      <c r="G355" s="18"/>
      <c r="H355" s="58"/>
      <c r="I355" s="21"/>
      <c r="J355" s="22"/>
    </row>
    <row r="356" spans="1:10" ht="13.2" x14ac:dyDescent="0.25">
      <c r="A356" s="17"/>
      <c r="B356" s="17"/>
      <c r="D356" s="18"/>
      <c r="E356" s="18"/>
      <c r="F356" s="18"/>
      <c r="G356" s="18"/>
      <c r="H356" s="58"/>
      <c r="I356" s="21"/>
      <c r="J356" s="22"/>
    </row>
    <row r="357" spans="1:10" ht="13.2" x14ac:dyDescent="0.25">
      <c r="A357" s="17"/>
      <c r="B357" s="17"/>
      <c r="D357" s="18"/>
      <c r="E357" s="18"/>
      <c r="F357" s="18"/>
      <c r="G357" s="18"/>
      <c r="H357" s="58"/>
      <c r="I357" s="21"/>
      <c r="J357" s="22"/>
    </row>
    <row r="358" spans="1:10" ht="13.2" x14ac:dyDescent="0.25">
      <c r="A358" s="17"/>
      <c r="B358" s="17"/>
      <c r="D358" s="18"/>
      <c r="E358" s="18"/>
      <c r="F358" s="18"/>
      <c r="G358" s="18"/>
      <c r="H358" s="58"/>
      <c r="I358" s="21"/>
      <c r="J358" s="22"/>
    </row>
    <row r="359" spans="1:10" ht="13.2" x14ac:dyDescent="0.25">
      <c r="A359" s="17"/>
      <c r="B359" s="17"/>
      <c r="D359" s="18"/>
      <c r="E359" s="18"/>
      <c r="F359" s="18"/>
      <c r="G359" s="18"/>
      <c r="H359" s="58"/>
      <c r="I359" s="21"/>
      <c r="J359" s="22"/>
    </row>
    <row r="360" spans="1:10" ht="13.2" x14ac:dyDescent="0.25">
      <c r="A360" s="17"/>
      <c r="B360" s="17"/>
      <c r="D360" s="18"/>
      <c r="E360" s="18"/>
      <c r="F360" s="18"/>
      <c r="G360" s="18"/>
      <c r="H360" s="58"/>
      <c r="I360" s="21"/>
      <c r="J360" s="22"/>
    </row>
    <row r="361" spans="1:10" ht="13.2" x14ac:dyDescent="0.25">
      <c r="A361" s="17"/>
      <c r="B361" s="17"/>
      <c r="D361" s="18"/>
      <c r="E361" s="18"/>
      <c r="F361" s="18"/>
      <c r="G361" s="18"/>
      <c r="H361" s="58"/>
      <c r="I361" s="21"/>
      <c r="J361" s="22"/>
    </row>
    <row r="362" spans="1:10" ht="13.2" x14ac:dyDescent="0.25">
      <c r="A362" s="17"/>
      <c r="B362" s="17"/>
      <c r="D362" s="18"/>
      <c r="E362" s="18"/>
      <c r="F362" s="18"/>
      <c r="G362" s="18"/>
      <c r="H362" s="58"/>
      <c r="I362" s="21"/>
      <c r="J362" s="22"/>
    </row>
    <row r="363" spans="1:10" ht="13.2" x14ac:dyDescent="0.25">
      <c r="A363" s="17"/>
      <c r="B363" s="17"/>
      <c r="D363" s="18"/>
      <c r="E363" s="18"/>
      <c r="F363" s="18"/>
      <c r="G363" s="18"/>
      <c r="H363" s="58"/>
      <c r="I363" s="21"/>
      <c r="J363" s="22"/>
    </row>
    <row r="364" spans="1:10" ht="13.2" x14ac:dyDescent="0.25">
      <c r="A364" s="17"/>
      <c r="B364" s="17"/>
      <c r="D364" s="18"/>
      <c r="E364" s="18"/>
      <c r="F364" s="18"/>
      <c r="G364" s="18"/>
      <c r="H364" s="58"/>
      <c r="I364" s="21"/>
      <c r="J364" s="22"/>
    </row>
    <row r="365" spans="1:10" ht="13.2" x14ac:dyDescent="0.25">
      <c r="A365" s="17"/>
      <c r="B365" s="17"/>
      <c r="D365" s="18"/>
      <c r="E365" s="18"/>
      <c r="F365" s="18"/>
      <c r="G365" s="18"/>
      <c r="H365" s="58"/>
      <c r="I365" s="21"/>
      <c r="J365" s="22"/>
    </row>
    <row r="366" spans="1:10" ht="13.2" x14ac:dyDescent="0.25">
      <c r="A366" s="17"/>
      <c r="B366" s="17"/>
      <c r="D366" s="18"/>
      <c r="E366" s="18"/>
      <c r="F366" s="18"/>
      <c r="G366" s="18"/>
      <c r="H366" s="58"/>
      <c r="I366" s="21"/>
      <c r="J366" s="22"/>
    </row>
    <row r="367" spans="1:10" ht="13.2" x14ac:dyDescent="0.25">
      <c r="A367" s="17"/>
      <c r="B367" s="17"/>
      <c r="D367" s="18"/>
      <c r="E367" s="18"/>
      <c r="F367" s="18"/>
      <c r="G367" s="18"/>
      <c r="H367" s="58"/>
      <c r="I367" s="21"/>
      <c r="J367" s="22"/>
    </row>
    <row r="368" spans="1:10" ht="13.2" x14ac:dyDescent="0.25">
      <c r="A368" s="17"/>
      <c r="B368" s="17"/>
      <c r="D368" s="18"/>
      <c r="E368" s="18"/>
      <c r="F368" s="18"/>
      <c r="G368" s="18"/>
      <c r="H368" s="58"/>
      <c r="I368" s="21"/>
      <c r="J368" s="22"/>
    </row>
    <row r="369" spans="1:10" ht="13.2" x14ac:dyDescent="0.25">
      <c r="A369" s="17"/>
      <c r="B369" s="17"/>
      <c r="D369" s="18"/>
      <c r="E369" s="18"/>
      <c r="F369" s="18"/>
      <c r="G369" s="18"/>
      <c r="H369" s="58"/>
      <c r="I369" s="21"/>
      <c r="J369" s="22"/>
    </row>
    <row r="370" spans="1:10" ht="13.2" x14ac:dyDescent="0.25">
      <c r="A370" s="17"/>
      <c r="B370" s="17"/>
      <c r="D370" s="18"/>
      <c r="E370" s="18"/>
      <c r="F370" s="18"/>
      <c r="G370" s="18"/>
      <c r="H370" s="58"/>
      <c r="I370" s="21"/>
      <c r="J370" s="22"/>
    </row>
    <row r="371" spans="1:10" ht="13.2" x14ac:dyDescent="0.25">
      <c r="A371" s="17"/>
      <c r="B371" s="17"/>
      <c r="D371" s="18"/>
      <c r="E371" s="18"/>
      <c r="F371" s="18"/>
      <c r="G371" s="18"/>
      <c r="H371" s="58"/>
      <c r="I371" s="21"/>
      <c r="J371" s="22"/>
    </row>
    <row r="372" spans="1:10" ht="13.2" x14ac:dyDescent="0.25">
      <c r="A372" s="17"/>
      <c r="B372" s="17"/>
      <c r="D372" s="18"/>
      <c r="E372" s="18"/>
      <c r="F372" s="18"/>
      <c r="G372" s="18"/>
      <c r="H372" s="58"/>
      <c r="I372" s="21"/>
      <c r="J372" s="22"/>
    </row>
    <row r="373" spans="1:10" ht="13.2" x14ac:dyDescent="0.25">
      <c r="A373" s="17"/>
      <c r="B373" s="17"/>
      <c r="D373" s="18"/>
      <c r="E373" s="18"/>
      <c r="F373" s="18"/>
      <c r="G373" s="18"/>
      <c r="H373" s="58"/>
      <c r="I373" s="21"/>
      <c r="J373" s="22"/>
    </row>
    <row r="374" spans="1:10" ht="13.2" x14ac:dyDescent="0.25">
      <c r="A374" s="17"/>
      <c r="B374" s="17"/>
      <c r="D374" s="18"/>
      <c r="E374" s="18"/>
      <c r="F374" s="18"/>
      <c r="G374" s="18"/>
      <c r="H374" s="58"/>
      <c r="I374" s="21"/>
      <c r="J374" s="22"/>
    </row>
    <row r="375" spans="1:10" ht="13.2" x14ac:dyDescent="0.25">
      <c r="A375" s="17"/>
      <c r="B375" s="17"/>
      <c r="D375" s="18"/>
      <c r="E375" s="18"/>
      <c r="F375" s="18"/>
      <c r="G375" s="18"/>
      <c r="H375" s="58"/>
      <c r="I375" s="21"/>
      <c r="J375" s="22"/>
    </row>
    <row r="376" spans="1:10" ht="13.2" x14ac:dyDescent="0.25">
      <c r="A376" s="17"/>
      <c r="B376" s="17"/>
      <c r="D376" s="18"/>
      <c r="E376" s="18"/>
      <c r="F376" s="18"/>
      <c r="G376" s="18"/>
      <c r="H376" s="58"/>
      <c r="I376" s="21"/>
      <c r="J376" s="22"/>
    </row>
    <row r="377" spans="1:10" ht="13.2" x14ac:dyDescent="0.25">
      <c r="A377" s="17"/>
      <c r="B377" s="17"/>
      <c r="D377" s="18"/>
      <c r="E377" s="18"/>
      <c r="F377" s="18"/>
      <c r="G377" s="18"/>
      <c r="H377" s="58"/>
      <c r="I377" s="21"/>
      <c r="J377" s="22"/>
    </row>
    <row r="378" spans="1:10" ht="13.2" x14ac:dyDescent="0.25">
      <c r="A378" s="17"/>
      <c r="B378" s="17"/>
      <c r="D378" s="18"/>
      <c r="E378" s="18"/>
      <c r="F378" s="18"/>
      <c r="G378" s="18"/>
      <c r="H378" s="58"/>
      <c r="I378" s="21"/>
      <c r="J378" s="22"/>
    </row>
    <row r="379" spans="1:10" ht="13.2" x14ac:dyDescent="0.25">
      <c r="A379" s="17"/>
      <c r="B379" s="17"/>
      <c r="D379" s="18"/>
      <c r="E379" s="18"/>
      <c r="F379" s="18"/>
      <c r="G379" s="18"/>
      <c r="H379" s="58"/>
      <c r="I379" s="21"/>
      <c r="J379" s="22"/>
    </row>
    <row r="380" spans="1:10" ht="13.2" x14ac:dyDescent="0.25">
      <c r="A380" s="17"/>
      <c r="B380" s="17"/>
      <c r="D380" s="18"/>
      <c r="E380" s="18"/>
      <c r="F380" s="18"/>
      <c r="G380" s="18"/>
      <c r="H380" s="58"/>
      <c r="I380" s="21"/>
      <c r="J380" s="22"/>
    </row>
    <row r="381" spans="1:10" ht="13.2" x14ac:dyDescent="0.25">
      <c r="A381" s="17"/>
      <c r="B381" s="17"/>
      <c r="D381" s="18"/>
      <c r="E381" s="18"/>
      <c r="F381" s="18"/>
      <c r="G381" s="18"/>
      <c r="H381" s="58"/>
      <c r="I381" s="21"/>
      <c r="J381" s="22"/>
    </row>
    <row r="382" spans="1:10" ht="13.2" x14ac:dyDescent="0.25">
      <c r="A382" s="17"/>
      <c r="B382" s="17"/>
      <c r="D382" s="18"/>
      <c r="E382" s="18"/>
      <c r="F382" s="18"/>
      <c r="G382" s="18"/>
      <c r="H382" s="58"/>
      <c r="I382" s="21"/>
      <c r="J382" s="22"/>
    </row>
    <row r="383" spans="1:10" ht="13.2" x14ac:dyDescent="0.25">
      <c r="A383" s="17"/>
      <c r="B383" s="17"/>
      <c r="D383" s="18"/>
      <c r="E383" s="18"/>
      <c r="F383" s="18"/>
      <c r="G383" s="18"/>
      <c r="H383" s="58"/>
      <c r="I383" s="21"/>
      <c r="J383" s="22"/>
    </row>
    <row r="384" spans="1:10" ht="13.2" x14ac:dyDescent="0.25">
      <c r="A384" s="17"/>
      <c r="B384" s="17"/>
      <c r="D384" s="18"/>
      <c r="E384" s="18"/>
      <c r="F384" s="18"/>
      <c r="G384" s="18"/>
      <c r="H384" s="58"/>
      <c r="I384" s="21"/>
      <c r="J384" s="22"/>
    </row>
    <row r="385" spans="1:10" ht="13.2" x14ac:dyDescent="0.25">
      <c r="A385" s="17"/>
      <c r="B385" s="17"/>
      <c r="D385" s="18"/>
      <c r="E385" s="18"/>
      <c r="F385" s="18"/>
      <c r="G385" s="18"/>
      <c r="H385" s="58"/>
      <c r="I385" s="21"/>
      <c r="J385" s="22"/>
    </row>
    <row r="386" spans="1:10" ht="13.2" x14ac:dyDescent="0.25">
      <c r="A386" s="17"/>
      <c r="B386" s="17"/>
      <c r="D386" s="18"/>
      <c r="E386" s="18"/>
      <c r="F386" s="18"/>
      <c r="G386" s="18"/>
      <c r="H386" s="58"/>
      <c r="I386" s="21"/>
      <c r="J386" s="22"/>
    </row>
    <row r="387" spans="1:10" ht="13.2" x14ac:dyDescent="0.25">
      <c r="A387" s="17"/>
      <c r="B387" s="17"/>
      <c r="D387" s="18"/>
      <c r="E387" s="18"/>
      <c r="F387" s="18"/>
      <c r="G387" s="18"/>
      <c r="H387" s="58"/>
      <c r="I387" s="21"/>
      <c r="J387" s="22"/>
    </row>
    <row r="388" spans="1:10" ht="13.2" x14ac:dyDescent="0.25">
      <c r="A388" s="17"/>
      <c r="B388" s="17"/>
      <c r="D388" s="18"/>
      <c r="E388" s="18"/>
      <c r="F388" s="18"/>
      <c r="G388" s="18"/>
      <c r="H388" s="58"/>
      <c r="I388" s="21"/>
      <c r="J388" s="22"/>
    </row>
    <row r="389" spans="1:10" ht="13.2" x14ac:dyDescent="0.25">
      <c r="A389" s="17"/>
      <c r="B389" s="17"/>
      <c r="D389" s="18"/>
      <c r="E389" s="18"/>
      <c r="F389" s="18"/>
      <c r="G389" s="18"/>
      <c r="H389" s="58"/>
      <c r="I389" s="21"/>
      <c r="J389" s="22"/>
    </row>
    <row r="390" spans="1:10" ht="13.2" x14ac:dyDescent="0.25">
      <c r="A390" s="17"/>
      <c r="B390" s="17"/>
      <c r="D390" s="18"/>
      <c r="E390" s="18"/>
      <c r="F390" s="18"/>
      <c r="G390" s="18"/>
      <c r="H390" s="58"/>
      <c r="I390" s="21"/>
      <c r="J390" s="22"/>
    </row>
    <row r="391" spans="1:10" ht="13.2" x14ac:dyDescent="0.25">
      <c r="A391" s="17"/>
      <c r="B391" s="17"/>
      <c r="D391" s="18"/>
      <c r="E391" s="18"/>
      <c r="F391" s="18"/>
      <c r="G391" s="18"/>
      <c r="H391" s="58"/>
      <c r="I391" s="21"/>
      <c r="J391" s="22"/>
    </row>
    <row r="392" spans="1:10" ht="13.2" x14ac:dyDescent="0.25">
      <c r="A392" s="17"/>
      <c r="B392" s="17"/>
      <c r="D392" s="18"/>
      <c r="E392" s="18"/>
      <c r="F392" s="18"/>
      <c r="G392" s="18"/>
      <c r="H392" s="58"/>
      <c r="I392" s="21"/>
      <c r="J392" s="22"/>
    </row>
    <row r="393" spans="1:10" ht="13.2" x14ac:dyDescent="0.25">
      <c r="A393" s="17"/>
      <c r="B393" s="17"/>
      <c r="D393" s="18"/>
      <c r="E393" s="18"/>
      <c r="F393" s="18"/>
      <c r="G393" s="18"/>
      <c r="H393" s="58"/>
      <c r="I393" s="21"/>
      <c r="J393" s="22"/>
    </row>
    <row r="394" spans="1:10" ht="13.2" x14ac:dyDescent="0.25">
      <c r="A394" s="17"/>
      <c r="B394" s="17"/>
      <c r="D394" s="18"/>
      <c r="E394" s="18"/>
      <c r="F394" s="18"/>
      <c r="G394" s="18"/>
      <c r="H394" s="58"/>
      <c r="I394" s="21"/>
      <c r="J394" s="22"/>
    </row>
    <row r="395" spans="1:10" ht="13.2" x14ac:dyDescent="0.25">
      <c r="A395" s="17"/>
      <c r="B395" s="17"/>
      <c r="D395" s="18"/>
      <c r="E395" s="18"/>
      <c r="F395" s="18"/>
      <c r="G395" s="18"/>
      <c r="H395" s="58"/>
      <c r="I395" s="21"/>
      <c r="J395" s="22"/>
    </row>
    <row r="396" spans="1:10" ht="13.2" x14ac:dyDescent="0.25">
      <c r="A396" s="17"/>
      <c r="B396" s="17"/>
      <c r="D396" s="18"/>
      <c r="E396" s="18"/>
      <c r="F396" s="18"/>
      <c r="G396" s="18"/>
      <c r="H396" s="58"/>
      <c r="I396" s="21"/>
      <c r="J396" s="22"/>
    </row>
    <row r="397" spans="1:10" ht="13.2" x14ac:dyDescent="0.25">
      <c r="A397" s="17"/>
      <c r="B397" s="17"/>
      <c r="D397" s="18"/>
      <c r="E397" s="18"/>
      <c r="F397" s="18"/>
      <c r="G397" s="18"/>
      <c r="H397" s="58"/>
      <c r="I397" s="21"/>
      <c r="J397" s="22"/>
    </row>
    <row r="398" spans="1:10" ht="13.2" x14ac:dyDescent="0.25">
      <c r="A398" s="17"/>
      <c r="B398" s="17"/>
      <c r="D398" s="18"/>
      <c r="E398" s="18"/>
      <c r="F398" s="18"/>
      <c r="G398" s="18"/>
      <c r="H398" s="58"/>
      <c r="I398" s="21"/>
      <c r="J398" s="22"/>
    </row>
    <row r="399" spans="1:10" ht="13.2" x14ac:dyDescent="0.25">
      <c r="A399" s="17"/>
      <c r="B399" s="17"/>
      <c r="D399" s="18"/>
      <c r="E399" s="18"/>
      <c r="F399" s="18"/>
      <c r="G399" s="18"/>
      <c r="H399" s="58"/>
      <c r="I399" s="21"/>
      <c r="J399" s="22"/>
    </row>
    <row r="400" spans="1:10" ht="13.2" x14ac:dyDescent="0.25">
      <c r="A400" s="17"/>
      <c r="B400" s="17"/>
      <c r="D400" s="18"/>
      <c r="E400" s="18"/>
      <c r="F400" s="18"/>
      <c r="G400" s="18"/>
      <c r="H400" s="58"/>
      <c r="I400" s="21"/>
      <c r="J400" s="22"/>
    </row>
    <row r="401" spans="1:10" ht="13.2" x14ac:dyDescent="0.25">
      <c r="A401" s="17"/>
      <c r="B401" s="17"/>
      <c r="D401" s="18"/>
      <c r="E401" s="18"/>
      <c r="F401" s="18"/>
      <c r="G401" s="18"/>
      <c r="H401" s="58"/>
      <c r="I401" s="21"/>
      <c r="J401" s="22"/>
    </row>
    <row r="402" spans="1:10" ht="13.2" x14ac:dyDescent="0.25">
      <c r="A402" s="17"/>
      <c r="B402" s="17"/>
      <c r="D402" s="18"/>
      <c r="E402" s="18"/>
      <c r="F402" s="18"/>
      <c r="G402" s="18"/>
      <c r="H402" s="58"/>
      <c r="I402" s="21"/>
      <c r="J402" s="22"/>
    </row>
    <row r="403" spans="1:10" ht="13.2" x14ac:dyDescent="0.25">
      <c r="A403" s="17"/>
      <c r="B403" s="17"/>
      <c r="D403" s="18"/>
      <c r="E403" s="18"/>
      <c r="F403" s="18"/>
      <c r="G403" s="18"/>
      <c r="H403" s="58"/>
      <c r="I403" s="21"/>
      <c r="J403" s="22"/>
    </row>
    <row r="404" spans="1:10" ht="13.2" x14ac:dyDescent="0.25">
      <c r="A404" s="17"/>
      <c r="B404" s="17"/>
      <c r="D404" s="18"/>
      <c r="E404" s="18"/>
      <c r="F404" s="18"/>
      <c r="G404" s="18"/>
      <c r="H404" s="58"/>
      <c r="I404" s="21"/>
      <c r="J404" s="22"/>
    </row>
    <row r="405" spans="1:10" ht="13.2" x14ac:dyDescent="0.25">
      <c r="A405" s="17"/>
      <c r="B405" s="17"/>
      <c r="D405" s="18"/>
      <c r="E405" s="18"/>
      <c r="F405" s="18"/>
      <c r="G405" s="18"/>
      <c r="H405" s="58"/>
      <c r="I405" s="21"/>
      <c r="J405" s="22"/>
    </row>
    <row r="406" spans="1:10" ht="13.2" x14ac:dyDescent="0.25">
      <c r="A406" s="17"/>
      <c r="B406" s="17"/>
      <c r="D406" s="18"/>
      <c r="E406" s="18"/>
      <c r="F406" s="18"/>
      <c r="G406" s="18"/>
      <c r="H406" s="58"/>
      <c r="I406" s="21"/>
      <c r="J406" s="22"/>
    </row>
    <row r="407" spans="1:10" ht="13.2" x14ac:dyDescent="0.25">
      <c r="A407" s="17"/>
      <c r="B407" s="17"/>
      <c r="D407" s="18"/>
      <c r="E407" s="18"/>
      <c r="F407" s="18"/>
      <c r="G407" s="18"/>
      <c r="H407" s="58"/>
      <c r="I407" s="21"/>
      <c r="J407" s="22"/>
    </row>
    <row r="408" spans="1:10" ht="13.2" x14ac:dyDescent="0.25">
      <c r="A408" s="17"/>
      <c r="B408" s="17"/>
      <c r="D408" s="18"/>
      <c r="E408" s="18"/>
      <c r="F408" s="18"/>
      <c r="G408" s="18"/>
      <c r="H408" s="58"/>
      <c r="I408" s="21"/>
      <c r="J408" s="22"/>
    </row>
    <row r="409" spans="1:10" ht="13.2" x14ac:dyDescent="0.25">
      <c r="A409" s="17"/>
      <c r="B409" s="17"/>
      <c r="D409" s="18"/>
      <c r="E409" s="18"/>
      <c r="F409" s="18"/>
      <c r="G409" s="18"/>
      <c r="H409" s="58"/>
      <c r="I409" s="21"/>
      <c r="J409" s="22"/>
    </row>
    <row r="410" spans="1:10" ht="13.2" x14ac:dyDescent="0.25">
      <c r="A410" s="17"/>
      <c r="B410" s="17"/>
      <c r="D410" s="18"/>
      <c r="E410" s="18"/>
      <c r="F410" s="18"/>
      <c r="G410" s="18"/>
      <c r="H410" s="58"/>
      <c r="I410" s="21"/>
      <c r="J410" s="22"/>
    </row>
    <row r="411" spans="1:10" ht="13.2" x14ac:dyDescent="0.25">
      <c r="A411" s="17"/>
      <c r="B411" s="17"/>
      <c r="D411" s="18"/>
      <c r="E411" s="18"/>
      <c r="F411" s="18"/>
      <c r="G411" s="18"/>
      <c r="H411" s="58"/>
      <c r="I411" s="21"/>
      <c r="J411" s="22"/>
    </row>
    <row r="412" spans="1:10" ht="13.2" x14ac:dyDescent="0.25">
      <c r="A412" s="17"/>
      <c r="B412" s="17"/>
      <c r="D412" s="18"/>
      <c r="E412" s="18"/>
      <c r="F412" s="18"/>
      <c r="G412" s="18"/>
      <c r="H412" s="58"/>
      <c r="I412" s="21"/>
      <c r="J412" s="22"/>
    </row>
    <row r="413" spans="1:10" ht="13.2" x14ac:dyDescent="0.25">
      <c r="A413" s="17"/>
      <c r="B413" s="17"/>
      <c r="D413" s="18"/>
      <c r="E413" s="18"/>
      <c r="F413" s="18"/>
      <c r="G413" s="18"/>
      <c r="H413" s="58"/>
      <c r="I413" s="21"/>
      <c r="J413" s="22"/>
    </row>
    <row r="414" spans="1:10" ht="13.2" x14ac:dyDescent="0.25">
      <c r="A414" s="17"/>
      <c r="B414" s="17"/>
      <c r="D414" s="18"/>
      <c r="E414" s="18"/>
      <c r="F414" s="18"/>
      <c r="G414" s="18"/>
      <c r="H414" s="58"/>
      <c r="I414" s="21"/>
      <c r="J414" s="22"/>
    </row>
    <row r="415" spans="1:10" ht="13.2" x14ac:dyDescent="0.25">
      <c r="A415" s="17"/>
      <c r="B415" s="17"/>
      <c r="D415" s="18"/>
      <c r="E415" s="18"/>
      <c r="F415" s="18"/>
      <c r="G415" s="18"/>
      <c r="H415" s="58"/>
      <c r="I415" s="21"/>
      <c r="J415" s="22"/>
    </row>
    <row r="416" spans="1:10" ht="13.2" x14ac:dyDescent="0.25">
      <c r="A416" s="17"/>
      <c r="B416" s="17"/>
      <c r="D416" s="18"/>
      <c r="E416" s="18"/>
      <c r="F416" s="18"/>
      <c r="G416" s="18"/>
      <c r="H416" s="58"/>
      <c r="I416" s="21"/>
      <c r="J416" s="22"/>
    </row>
    <row r="417" spans="1:10" ht="13.2" x14ac:dyDescent="0.25">
      <c r="A417" s="17"/>
      <c r="B417" s="17"/>
      <c r="D417" s="18"/>
      <c r="E417" s="18"/>
      <c r="F417" s="18"/>
      <c r="G417" s="18"/>
      <c r="H417" s="58"/>
      <c r="I417" s="21"/>
      <c r="J417" s="22"/>
    </row>
    <row r="418" spans="1:10" ht="13.2" x14ac:dyDescent="0.25">
      <c r="A418" s="17"/>
      <c r="B418" s="17"/>
      <c r="D418" s="18"/>
      <c r="E418" s="18"/>
      <c r="F418" s="18"/>
      <c r="G418" s="18"/>
      <c r="H418" s="58"/>
      <c r="I418" s="21"/>
      <c r="J418" s="22"/>
    </row>
    <row r="419" spans="1:10" ht="13.2" x14ac:dyDescent="0.25">
      <c r="A419" s="17"/>
      <c r="B419" s="17"/>
      <c r="D419" s="18"/>
      <c r="E419" s="18"/>
      <c r="F419" s="18"/>
      <c r="G419" s="18"/>
      <c r="H419" s="58"/>
      <c r="I419" s="21"/>
      <c r="J419" s="22"/>
    </row>
    <row r="420" spans="1:10" ht="13.2" x14ac:dyDescent="0.25">
      <c r="A420" s="17"/>
      <c r="B420" s="17"/>
      <c r="D420" s="18"/>
      <c r="E420" s="18"/>
      <c r="F420" s="18"/>
      <c r="G420" s="18"/>
      <c r="H420" s="58"/>
      <c r="I420" s="21"/>
      <c r="J420" s="22"/>
    </row>
    <row r="421" spans="1:10" ht="13.2" x14ac:dyDescent="0.25">
      <c r="A421" s="17"/>
      <c r="B421" s="17"/>
      <c r="D421" s="18"/>
      <c r="E421" s="18"/>
      <c r="F421" s="18"/>
      <c r="G421" s="18"/>
      <c r="H421" s="58"/>
      <c r="I421" s="21"/>
      <c r="J421" s="22"/>
    </row>
    <row r="422" spans="1:10" ht="13.2" x14ac:dyDescent="0.25">
      <c r="A422" s="17"/>
      <c r="B422" s="17"/>
      <c r="D422" s="18"/>
      <c r="E422" s="18"/>
      <c r="F422" s="18"/>
      <c r="G422" s="18"/>
      <c r="H422" s="58"/>
      <c r="I422" s="21"/>
      <c r="J422" s="22"/>
    </row>
    <row r="423" spans="1:10" ht="13.2" x14ac:dyDescent="0.25">
      <c r="A423" s="17"/>
      <c r="B423" s="17"/>
      <c r="D423" s="18"/>
      <c r="E423" s="18"/>
      <c r="F423" s="18"/>
      <c r="G423" s="18"/>
      <c r="H423" s="58"/>
      <c r="I423" s="21"/>
      <c r="J423" s="22"/>
    </row>
    <row r="424" spans="1:10" ht="13.2" x14ac:dyDescent="0.25">
      <c r="A424" s="17"/>
      <c r="B424" s="17"/>
      <c r="D424" s="18"/>
      <c r="E424" s="18"/>
      <c r="F424" s="18"/>
      <c r="G424" s="18"/>
      <c r="H424" s="58"/>
      <c r="I424" s="21"/>
      <c r="J424" s="22"/>
    </row>
    <row r="425" spans="1:10" ht="13.2" x14ac:dyDescent="0.25">
      <c r="A425" s="17"/>
      <c r="B425" s="17"/>
      <c r="D425" s="18"/>
      <c r="E425" s="18"/>
      <c r="F425" s="18"/>
      <c r="G425" s="18"/>
      <c r="H425" s="58"/>
      <c r="I425" s="21"/>
      <c r="J425" s="22"/>
    </row>
    <row r="426" spans="1:10" ht="13.2" x14ac:dyDescent="0.25">
      <c r="A426" s="17"/>
      <c r="B426" s="17"/>
      <c r="D426" s="18"/>
      <c r="E426" s="18"/>
      <c r="F426" s="18"/>
      <c r="G426" s="18"/>
      <c r="H426" s="58"/>
      <c r="I426" s="21"/>
      <c r="J426" s="22"/>
    </row>
    <row r="427" spans="1:10" ht="13.2" x14ac:dyDescent="0.25">
      <c r="A427" s="17"/>
      <c r="B427" s="17"/>
      <c r="D427" s="18"/>
      <c r="E427" s="18"/>
      <c r="F427" s="18"/>
      <c r="G427" s="18"/>
      <c r="H427" s="58"/>
      <c r="I427" s="21"/>
      <c r="J427" s="22"/>
    </row>
    <row r="428" spans="1:10" ht="13.2" x14ac:dyDescent="0.25">
      <c r="A428" s="17"/>
      <c r="B428" s="17"/>
      <c r="D428" s="18"/>
      <c r="E428" s="18"/>
      <c r="F428" s="18"/>
      <c r="G428" s="18"/>
      <c r="H428" s="58"/>
      <c r="I428" s="21"/>
      <c r="J428" s="22"/>
    </row>
    <row r="429" spans="1:10" ht="13.2" x14ac:dyDescent="0.25">
      <c r="A429" s="17"/>
      <c r="B429" s="17"/>
      <c r="D429" s="18"/>
      <c r="E429" s="18"/>
      <c r="F429" s="18"/>
      <c r="G429" s="18"/>
      <c r="H429" s="58"/>
      <c r="I429" s="21"/>
      <c r="J429" s="22"/>
    </row>
    <row r="430" spans="1:10" ht="13.2" x14ac:dyDescent="0.25">
      <c r="A430" s="17"/>
      <c r="B430" s="17"/>
      <c r="D430" s="18"/>
      <c r="E430" s="18"/>
      <c r="F430" s="18"/>
      <c r="G430" s="18"/>
      <c r="H430" s="58"/>
      <c r="I430" s="21"/>
      <c r="J430" s="22"/>
    </row>
    <row r="431" spans="1:10" ht="13.2" x14ac:dyDescent="0.25">
      <c r="A431" s="17"/>
      <c r="B431" s="17"/>
      <c r="D431" s="18"/>
      <c r="E431" s="18"/>
      <c r="F431" s="18"/>
      <c r="G431" s="18"/>
      <c r="H431" s="58"/>
      <c r="I431" s="21"/>
      <c r="J431" s="22"/>
    </row>
    <row r="432" spans="1:10" ht="13.2" x14ac:dyDescent="0.25">
      <c r="A432" s="17"/>
      <c r="B432" s="17"/>
      <c r="D432" s="18"/>
      <c r="E432" s="18"/>
      <c r="F432" s="18"/>
      <c r="G432" s="18"/>
      <c r="H432" s="58"/>
      <c r="I432" s="21"/>
      <c r="J432" s="22"/>
    </row>
    <row r="433" spans="1:10" ht="13.2" x14ac:dyDescent="0.25">
      <c r="A433" s="17"/>
      <c r="B433" s="17"/>
      <c r="D433" s="18"/>
      <c r="E433" s="18"/>
      <c r="F433" s="18"/>
      <c r="G433" s="18"/>
      <c r="H433" s="58"/>
      <c r="I433" s="21"/>
      <c r="J433" s="22"/>
    </row>
    <row r="434" spans="1:10" ht="13.2" x14ac:dyDescent="0.25">
      <c r="A434" s="17"/>
      <c r="B434" s="17"/>
      <c r="D434" s="18"/>
      <c r="E434" s="18"/>
      <c r="F434" s="18"/>
      <c r="G434" s="18"/>
      <c r="H434" s="58"/>
      <c r="I434" s="21"/>
      <c r="J434" s="22"/>
    </row>
    <row r="435" spans="1:10" ht="13.2" x14ac:dyDescent="0.25">
      <c r="A435" s="17"/>
      <c r="B435" s="17"/>
      <c r="D435" s="18"/>
      <c r="E435" s="18"/>
      <c r="F435" s="18"/>
      <c r="G435" s="18"/>
      <c r="H435" s="58"/>
      <c r="I435" s="21"/>
      <c r="J435" s="22"/>
    </row>
    <row r="436" spans="1:10" ht="13.2" x14ac:dyDescent="0.25">
      <c r="A436" s="17"/>
      <c r="B436" s="17"/>
      <c r="D436" s="18"/>
      <c r="E436" s="18"/>
      <c r="F436" s="18"/>
      <c r="G436" s="18"/>
      <c r="H436" s="58"/>
      <c r="I436" s="21"/>
      <c r="J436" s="22"/>
    </row>
    <row r="437" spans="1:10" ht="13.2" x14ac:dyDescent="0.25">
      <c r="A437" s="17"/>
      <c r="B437" s="17"/>
      <c r="D437" s="18"/>
      <c r="E437" s="18"/>
      <c r="F437" s="18"/>
      <c r="G437" s="18"/>
      <c r="H437" s="58"/>
      <c r="I437" s="21"/>
      <c r="J437" s="22"/>
    </row>
    <row r="438" spans="1:10" ht="13.2" x14ac:dyDescent="0.25">
      <c r="A438" s="17"/>
      <c r="B438" s="17"/>
      <c r="D438" s="18"/>
      <c r="E438" s="18"/>
      <c r="F438" s="18"/>
      <c r="G438" s="18"/>
      <c r="H438" s="58"/>
      <c r="I438" s="21"/>
      <c r="J438" s="22"/>
    </row>
    <row r="439" spans="1:10" ht="13.2" x14ac:dyDescent="0.25">
      <c r="A439" s="17"/>
      <c r="B439" s="17"/>
      <c r="D439" s="18"/>
      <c r="E439" s="18"/>
      <c r="F439" s="18"/>
      <c r="G439" s="18"/>
      <c r="H439" s="58"/>
      <c r="I439" s="21"/>
      <c r="J439" s="22"/>
    </row>
    <row r="440" spans="1:10" ht="13.2" x14ac:dyDescent="0.25">
      <c r="A440" s="17"/>
      <c r="B440" s="17"/>
      <c r="D440" s="18"/>
      <c r="E440" s="18"/>
      <c r="F440" s="18"/>
      <c r="G440" s="18"/>
      <c r="H440" s="58"/>
      <c r="I440" s="21"/>
      <c r="J440" s="22"/>
    </row>
    <row r="441" spans="1:10" ht="13.2" x14ac:dyDescent="0.25">
      <c r="A441" s="17"/>
      <c r="B441" s="17"/>
      <c r="D441" s="18"/>
      <c r="E441" s="18"/>
      <c r="F441" s="18"/>
      <c r="G441" s="18"/>
      <c r="H441" s="58"/>
      <c r="I441" s="21"/>
      <c r="J441" s="22"/>
    </row>
    <row r="442" spans="1:10" ht="13.2" x14ac:dyDescent="0.25">
      <c r="A442" s="17"/>
      <c r="B442" s="17"/>
      <c r="D442" s="18"/>
      <c r="E442" s="18"/>
      <c r="F442" s="18"/>
      <c r="G442" s="18"/>
      <c r="H442" s="58"/>
      <c r="I442" s="21"/>
      <c r="J442" s="22"/>
    </row>
    <row r="443" spans="1:10" ht="13.2" x14ac:dyDescent="0.25">
      <c r="A443" s="17"/>
      <c r="B443" s="17"/>
      <c r="D443" s="18"/>
      <c r="E443" s="18"/>
      <c r="F443" s="18"/>
      <c r="G443" s="18"/>
      <c r="H443" s="58"/>
      <c r="I443" s="21"/>
      <c r="J443" s="22"/>
    </row>
    <row r="444" spans="1:10" ht="13.2" x14ac:dyDescent="0.25">
      <c r="A444" s="17"/>
      <c r="B444" s="17"/>
      <c r="D444" s="18"/>
      <c r="E444" s="18"/>
      <c r="F444" s="18"/>
      <c r="G444" s="18"/>
      <c r="H444" s="58"/>
      <c r="I444" s="21"/>
      <c r="J444" s="22"/>
    </row>
    <row r="445" spans="1:10" ht="13.2" x14ac:dyDescent="0.25">
      <c r="A445" s="17"/>
      <c r="B445" s="17"/>
      <c r="D445" s="18"/>
      <c r="E445" s="18"/>
      <c r="F445" s="18"/>
      <c r="G445" s="18"/>
      <c r="H445" s="58"/>
      <c r="I445" s="21"/>
      <c r="J445" s="22"/>
    </row>
    <row r="446" spans="1:10" ht="13.2" x14ac:dyDescent="0.25">
      <c r="A446" s="17"/>
      <c r="B446" s="17"/>
      <c r="D446" s="18"/>
      <c r="E446" s="18"/>
      <c r="F446" s="18"/>
      <c r="G446" s="18"/>
      <c r="H446" s="58"/>
      <c r="I446" s="21"/>
      <c r="J446" s="22"/>
    </row>
    <row r="447" spans="1:10" ht="13.2" x14ac:dyDescent="0.25">
      <c r="A447" s="17"/>
      <c r="B447" s="17"/>
      <c r="D447" s="18"/>
      <c r="E447" s="18"/>
      <c r="F447" s="18"/>
      <c r="G447" s="18"/>
      <c r="H447" s="58"/>
      <c r="I447" s="21"/>
      <c r="J447" s="22"/>
    </row>
    <row r="448" spans="1:10" ht="13.2" x14ac:dyDescent="0.25">
      <c r="A448" s="17"/>
      <c r="B448" s="17"/>
      <c r="D448" s="18"/>
      <c r="E448" s="18"/>
      <c r="F448" s="18"/>
      <c r="G448" s="18"/>
      <c r="H448" s="58"/>
      <c r="I448" s="21"/>
      <c r="J448" s="22"/>
    </row>
    <row r="449" spans="1:10" ht="13.2" x14ac:dyDescent="0.25">
      <c r="A449" s="17"/>
      <c r="B449" s="17"/>
      <c r="D449" s="18"/>
      <c r="E449" s="18"/>
      <c r="F449" s="18"/>
      <c r="G449" s="18"/>
      <c r="H449" s="58"/>
      <c r="I449" s="21"/>
      <c r="J449" s="22"/>
    </row>
    <row r="450" spans="1:10" ht="13.2" x14ac:dyDescent="0.25">
      <c r="A450" s="17"/>
      <c r="B450" s="17"/>
      <c r="D450" s="18"/>
      <c r="E450" s="18"/>
      <c r="F450" s="18"/>
      <c r="G450" s="18"/>
      <c r="H450" s="58"/>
      <c r="I450" s="21"/>
      <c r="J450" s="22"/>
    </row>
    <row r="451" spans="1:10" ht="13.2" x14ac:dyDescent="0.25">
      <c r="A451" s="17"/>
      <c r="B451" s="17"/>
      <c r="D451" s="18"/>
      <c r="E451" s="18"/>
      <c r="F451" s="18"/>
      <c r="G451" s="18"/>
      <c r="H451" s="58"/>
      <c r="I451" s="21"/>
      <c r="J451" s="22"/>
    </row>
    <row r="452" spans="1:10" ht="13.2" x14ac:dyDescent="0.25">
      <c r="A452" s="17"/>
      <c r="B452" s="17"/>
      <c r="D452" s="18"/>
      <c r="E452" s="18"/>
      <c r="F452" s="18"/>
      <c r="G452" s="18"/>
      <c r="H452" s="58"/>
      <c r="I452" s="21"/>
      <c r="J452" s="22"/>
    </row>
    <row r="453" spans="1:10" ht="13.2" x14ac:dyDescent="0.25">
      <c r="A453" s="17"/>
      <c r="B453" s="17"/>
      <c r="D453" s="18"/>
      <c r="E453" s="18"/>
      <c r="F453" s="18"/>
      <c r="G453" s="18"/>
      <c r="H453" s="58"/>
      <c r="I453" s="21"/>
      <c r="J453" s="22"/>
    </row>
    <row r="454" spans="1:10" ht="13.2" x14ac:dyDescent="0.25">
      <c r="A454" s="17"/>
      <c r="B454" s="17"/>
      <c r="D454" s="18"/>
      <c r="E454" s="18"/>
      <c r="F454" s="18"/>
      <c r="G454" s="18"/>
      <c r="H454" s="58"/>
      <c r="I454" s="21"/>
      <c r="J454" s="22"/>
    </row>
    <row r="455" spans="1:10" ht="13.2" x14ac:dyDescent="0.25">
      <c r="A455" s="17"/>
      <c r="B455" s="17"/>
      <c r="D455" s="18"/>
      <c r="E455" s="18"/>
      <c r="F455" s="18"/>
      <c r="G455" s="18"/>
      <c r="H455" s="58"/>
      <c r="I455" s="21"/>
      <c r="J455" s="22"/>
    </row>
    <row r="456" spans="1:10" ht="13.2" x14ac:dyDescent="0.25">
      <c r="A456" s="17"/>
      <c r="B456" s="17"/>
      <c r="D456" s="18"/>
      <c r="E456" s="18"/>
      <c r="F456" s="18"/>
      <c r="G456" s="18"/>
      <c r="H456" s="58"/>
      <c r="I456" s="21"/>
      <c r="J456" s="22"/>
    </row>
    <row r="457" spans="1:10" ht="13.2" x14ac:dyDescent="0.25">
      <c r="A457" s="17"/>
      <c r="B457" s="17"/>
      <c r="D457" s="18"/>
      <c r="E457" s="18"/>
      <c r="F457" s="18"/>
      <c r="G457" s="18"/>
      <c r="H457" s="58"/>
      <c r="I457" s="21"/>
      <c r="J457" s="22"/>
    </row>
    <row r="458" spans="1:10" ht="13.2" x14ac:dyDescent="0.25">
      <c r="A458" s="17"/>
      <c r="B458" s="17"/>
      <c r="D458" s="18"/>
      <c r="E458" s="18"/>
      <c r="F458" s="18"/>
      <c r="G458" s="18"/>
      <c r="H458" s="58"/>
      <c r="I458" s="21"/>
      <c r="J458" s="22"/>
    </row>
    <row r="459" spans="1:10" ht="13.2" x14ac:dyDescent="0.25">
      <c r="A459" s="17"/>
      <c r="B459" s="17"/>
      <c r="D459" s="18"/>
      <c r="E459" s="18"/>
      <c r="F459" s="18"/>
      <c r="G459" s="18"/>
      <c r="H459" s="58"/>
      <c r="I459" s="21"/>
      <c r="J459" s="22"/>
    </row>
    <row r="460" spans="1:10" ht="13.2" x14ac:dyDescent="0.25">
      <c r="A460" s="17"/>
      <c r="B460" s="17"/>
      <c r="D460" s="18"/>
      <c r="E460" s="18"/>
      <c r="F460" s="18"/>
      <c r="G460" s="18"/>
      <c r="H460" s="58"/>
      <c r="I460" s="21"/>
      <c r="J460" s="22"/>
    </row>
    <row r="461" spans="1:10" ht="13.2" x14ac:dyDescent="0.25">
      <c r="A461" s="17"/>
      <c r="B461" s="17"/>
      <c r="D461" s="18"/>
      <c r="E461" s="18"/>
      <c r="F461" s="18"/>
      <c r="G461" s="18"/>
      <c r="H461" s="58"/>
      <c r="I461" s="21"/>
      <c r="J461" s="22"/>
    </row>
    <row r="462" spans="1:10" ht="13.2" x14ac:dyDescent="0.25">
      <c r="A462" s="17"/>
      <c r="B462" s="17"/>
      <c r="D462" s="18"/>
      <c r="E462" s="18"/>
      <c r="F462" s="18"/>
      <c r="G462" s="18"/>
      <c r="H462" s="58"/>
      <c r="I462" s="21"/>
      <c r="J462" s="22"/>
    </row>
    <row r="463" spans="1:10" ht="13.2" x14ac:dyDescent="0.25">
      <c r="A463" s="17"/>
      <c r="B463" s="17"/>
      <c r="D463" s="18"/>
      <c r="E463" s="18"/>
      <c r="F463" s="18"/>
      <c r="G463" s="18"/>
      <c r="H463" s="58"/>
      <c r="I463" s="21"/>
      <c r="J463" s="22"/>
    </row>
    <row r="464" spans="1:10" ht="13.2" x14ac:dyDescent="0.25">
      <c r="A464" s="17"/>
      <c r="B464" s="17"/>
      <c r="D464" s="18"/>
      <c r="E464" s="18"/>
      <c r="F464" s="18"/>
      <c r="G464" s="18"/>
      <c r="H464" s="58"/>
      <c r="I464" s="21"/>
      <c r="J464" s="22"/>
    </row>
    <row r="465" spans="1:10" ht="13.2" x14ac:dyDescent="0.25">
      <c r="A465" s="17"/>
      <c r="B465" s="17"/>
      <c r="D465" s="18"/>
      <c r="E465" s="18"/>
      <c r="F465" s="18"/>
      <c r="G465" s="18"/>
      <c r="H465" s="58"/>
      <c r="I465" s="21"/>
      <c r="J465" s="22"/>
    </row>
    <row r="466" spans="1:10" ht="13.2" x14ac:dyDescent="0.25">
      <c r="A466" s="17"/>
      <c r="B466" s="17"/>
      <c r="D466" s="18"/>
      <c r="E466" s="18"/>
      <c r="F466" s="18"/>
      <c r="G466" s="18"/>
      <c r="H466" s="58"/>
      <c r="I466" s="21"/>
      <c r="J466" s="22"/>
    </row>
    <row r="467" spans="1:10" ht="13.2" x14ac:dyDescent="0.25">
      <c r="A467" s="17"/>
      <c r="B467" s="17"/>
      <c r="D467" s="18"/>
      <c r="E467" s="18"/>
      <c r="F467" s="18"/>
      <c r="G467" s="18"/>
      <c r="H467" s="58"/>
      <c r="I467" s="21"/>
      <c r="J467" s="22"/>
    </row>
    <row r="468" spans="1:10" ht="13.2" x14ac:dyDescent="0.25">
      <c r="A468" s="17"/>
      <c r="B468" s="17"/>
      <c r="D468" s="18"/>
      <c r="E468" s="18"/>
      <c r="F468" s="18"/>
      <c r="G468" s="18"/>
      <c r="H468" s="58"/>
      <c r="I468" s="21"/>
      <c r="J468" s="22"/>
    </row>
    <row r="469" spans="1:10" ht="13.2" x14ac:dyDescent="0.25">
      <c r="A469" s="17"/>
      <c r="B469" s="17"/>
      <c r="D469" s="18"/>
      <c r="E469" s="18"/>
      <c r="F469" s="18"/>
      <c r="G469" s="18"/>
      <c r="H469" s="58"/>
      <c r="I469" s="21"/>
      <c r="J469" s="22"/>
    </row>
    <row r="470" spans="1:10" ht="13.2" x14ac:dyDescent="0.25">
      <c r="A470" s="17"/>
      <c r="B470" s="17"/>
      <c r="D470" s="18"/>
      <c r="E470" s="18"/>
      <c r="F470" s="18"/>
      <c r="G470" s="18"/>
      <c r="H470" s="58"/>
      <c r="I470" s="21"/>
      <c r="J470" s="22"/>
    </row>
    <row r="471" spans="1:10" ht="13.2" x14ac:dyDescent="0.25">
      <c r="A471" s="17"/>
      <c r="B471" s="17"/>
      <c r="D471" s="18"/>
      <c r="E471" s="18"/>
      <c r="F471" s="18"/>
      <c r="G471" s="18"/>
      <c r="H471" s="58"/>
      <c r="I471" s="21"/>
      <c r="J471" s="22"/>
    </row>
    <row r="472" spans="1:10" ht="13.2" x14ac:dyDescent="0.25">
      <c r="A472" s="17"/>
      <c r="B472" s="17"/>
      <c r="D472" s="18"/>
      <c r="E472" s="18"/>
      <c r="F472" s="18"/>
      <c r="G472" s="18"/>
      <c r="H472" s="58"/>
      <c r="I472" s="21"/>
      <c r="J472" s="22"/>
    </row>
    <row r="473" spans="1:10" ht="13.2" x14ac:dyDescent="0.25">
      <c r="A473" s="17"/>
      <c r="B473" s="17"/>
      <c r="D473" s="18"/>
      <c r="E473" s="18"/>
      <c r="F473" s="18"/>
      <c r="G473" s="18"/>
      <c r="H473" s="58"/>
      <c r="I473" s="21"/>
      <c r="J473" s="22"/>
    </row>
    <row r="474" spans="1:10" ht="13.2" x14ac:dyDescent="0.25">
      <c r="A474" s="17"/>
      <c r="B474" s="17"/>
      <c r="D474" s="18"/>
      <c r="E474" s="18"/>
      <c r="F474" s="18"/>
      <c r="G474" s="18"/>
      <c r="H474" s="58"/>
      <c r="I474" s="21"/>
      <c r="J474" s="22"/>
    </row>
    <row r="475" spans="1:10" ht="13.2" x14ac:dyDescent="0.25">
      <c r="A475" s="17"/>
      <c r="B475" s="17"/>
      <c r="D475" s="18"/>
      <c r="E475" s="18"/>
      <c r="F475" s="18"/>
      <c r="G475" s="18"/>
      <c r="H475" s="58"/>
      <c r="I475" s="21"/>
      <c r="J475" s="22"/>
    </row>
    <row r="476" spans="1:10" ht="13.2" x14ac:dyDescent="0.25">
      <c r="A476" s="17"/>
      <c r="B476" s="17"/>
      <c r="D476" s="18"/>
      <c r="E476" s="18"/>
      <c r="F476" s="18"/>
      <c r="G476" s="18"/>
      <c r="H476" s="58"/>
      <c r="I476" s="21"/>
      <c r="J476" s="22"/>
    </row>
    <row r="477" spans="1:10" ht="13.2" x14ac:dyDescent="0.25">
      <c r="A477" s="17"/>
      <c r="B477" s="17"/>
      <c r="D477" s="18"/>
      <c r="E477" s="18"/>
      <c r="F477" s="18"/>
      <c r="G477" s="18"/>
      <c r="H477" s="58"/>
      <c r="I477" s="21"/>
      <c r="J477" s="22"/>
    </row>
    <row r="478" spans="1:10" ht="13.2" x14ac:dyDescent="0.25">
      <c r="A478" s="17"/>
      <c r="B478" s="17"/>
      <c r="D478" s="18"/>
      <c r="E478" s="18"/>
      <c r="F478" s="18"/>
      <c r="G478" s="18"/>
      <c r="H478" s="58"/>
      <c r="I478" s="21"/>
      <c r="J478" s="22"/>
    </row>
    <row r="479" spans="1:10" ht="13.2" x14ac:dyDescent="0.25">
      <c r="A479" s="17"/>
      <c r="B479" s="17"/>
      <c r="D479" s="18"/>
      <c r="E479" s="18"/>
      <c r="F479" s="18"/>
      <c r="G479" s="18"/>
      <c r="H479" s="58"/>
      <c r="I479" s="21"/>
      <c r="J479" s="22"/>
    </row>
    <row r="480" spans="1:10" ht="13.2" x14ac:dyDescent="0.25">
      <c r="A480" s="17"/>
      <c r="B480" s="17"/>
      <c r="D480" s="18"/>
      <c r="E480" s="18"/>
      <c r="F480" s="18"/>
      <c r="G480" s="18"/>
      <c r="H480" s="58"/>
      <c r="I480" s="21"/>
      <c r="J480" s="22"/>
    </row>
    <row r="481" spans="1:10" ht="13.2" x14ac:dyDescent="0.25">
      <c r="A481" s="17"/>
      <c r="B481" s="17"/>
      <c r="D481" s="18"/>
      <c r="E481" s="18"/>
      <c r="F481" s="18"/>
      <c r="G481" s="18"/>
      <c r="H481" s="58"/>
      <c r="I481" s="21"/>
      <c r="J481" s="22"/>
    </row>
    <row r="482" spans="1:10" ht="13.2" x14ac:dyDescent="0.25">
      <c r="A482" s="17"/>
      <c r="B482" s="17"/>
      <c r="D482" s="18"/>
      <c r="E482" s="18"/>
      <c r="F482" s="18"/>
      <c r="G482" s="18"/>
      <c r="H482" s="58"/>
      <c r="I482" s="21"/>
      <c r="J482" s="22"/>
    </row>
    <row r="483" spans="1:10" ht="13.2" x14ac:dyDescent="0.25">
      <c r="A483" s="17"/>
      <c r="B483" s="17"/>
      <c r="D483" s="18"/>
      <c r="E483" s="18"/>
      <c r="F483" s="18"/>
      <c r="G483" s="18"/>
      <c r="H483" s="58"/>
      <c r="I483" s="21"/>
      <c r="J483" s="22"/>
    </row>
    <row r="484" spans="1:10" ht="13.2" x14ac:dyDescent="0.25">
      <c r="A484" s="17"/>
      <c r="B484" s="17"/>
      <c r="D484" s="18"/>
      <c r="E484" s="18"/>
      <c r="F484" s="18"/>
      <c r="G484" s="18"/>
      <c r="H484" s="58"/>
      <c r="I484" s="21"/>
      <c r="J484" s="22"/>
    </row>
    <row r="485" spans="1:10" ht="13.2" x14ac:dyDescent="0.25">
      <c r="A485" s="17"/>
      <c r="B485" s="17"/>
      <c r="D485" s="18"/>
      <c r="E485" s="18"/>
      <c r="F485" s="18"/>
      <c r="G485" s="18"/>
      <c r="H485" s="58"/>
      <c r="I485" s="21"/>
      <c r="J485" s="22"/>
    </row>
    <row r="486" spans="1:10" ht="13.2" x14ac:dyDescent="0.25">
      <c r="A486" s="17"/>
      <c r="B486" s="17"/>
      <c r="D486" s="18"/>
      <c r="E486" s="18"/>
      <c r="F486" s="18"/>
      <c r="G486" s="18"/>
      <c r="H486" s="58"/>
      <c r="I486" s="21"/>
      <c r="J486" s="22"/>
    </row>
    <row r="487" spans="1:10" ht="13.2" x14ac:dyDescent="0.25">
      <c r="A487" s="17"/>
      <c r="B487" s="17"/>
      <c r="D487" s="18"/>
      <c r="E487" s="18"/>
      <c r="F487" s="18"/>
      <c r="G487" s="18"/>
      <c r="H487" s="58"/>
      <c r="I487" s="21"/>
      <c r="J487" s="22"/>
    </row>
    <row r="488" spans="1:10" ht="13.2" x14ac:dyDescent="0.25">
      <c r="A488" s="17"/>
      <c r="B488" s="17"/>
      <c r="D488" s="18"/>
      <c r="E488" s="18"/>
      <c r="F488" s="18"/>
      <c r="G488" s="18"/>
      <c r="H488" s="58"/>
      <c r="I488" s="21"/>
      <c r="J488" s="22"/>
    </row>
    <row r="489" spans="1:10" ht="13.2" x14ac:dyDescent="0.25">
      <c r="A489" s="17"/>
      <c r="B489" s="17"/>
      <c r="D489" s="18"/>
      <c r="E489" s="18"/>
      <c r="F489" s="18"/>
      <c r="G489" s="18"/>
      <c r="H489" s="58"/>
      <c r="I489" s="21"/>
      <c r="J489" s="22"/>
    </row>
    <row r="490" spans="1:10" ht="13.2" x14ac:dyDescent="0.25">
      <c r="A490" s="17"/>
      <c r="B490" s="17"/>
      <c r="D490" s="18"/>
      <c r="E490" s="18"/>
      <c r="F490" s="18"/>
      <c r="G490" s="18"/>
      <c r="H490" s="58"/>
      <c r="I490" s="21"/>
      <c r="J490" s="22"/>
    </row>
    <row r="491" spans="1:10" ht="13.2" x14ac:dyDescent="0.25">
      <c r="A491" s="17"/>
      <c r="B491" s="17"/>
      <c r="D491" s="18"/>
      <c r="E491" s="18"/>
      <c r="F491" s="18"/>
      <c r="G491" s="18"/>
      <c r="H491" s="58"/>
      <c r="I491" s="21"/>
      <c r="J491" s="22"/>
    </row>
    <row r="492" spans="1:10" ht="13.2" x14ac:dyDescent="0.25">
      <c r="A492" s="17"/>
      <c r="B492" s="17"/>
      <c r="D492" s="18"/>
      <c r="E492" s="18"/>
      <c r="F492" s="18"/>
      <c r="G492" s="18"/>
      <c r="H492" s="58"/>
      <c r="I492" s="21"/>
      <c r="J492" s="22"/>
    </row>
    <row r="493" spans="1:10" ht="13.2" x14ac:dyDescent="0.25">
      <c r="A493" s="17"/>
      <c r="B493" s="17"/>
      <c r="D493" s="18"/>
      <c r="E493" s="18"/>
      <c r="F493" s="18"/>
      <c r="G493" s="18"/>
      <c r="H493" s="58"/>
      <c r="I493" s="21"/>
      <c r="J493" s="22"/>
    </row>
    <row r="494" spans="1:10" ht="13.2" x14ac:dyDescent="0.25">
      <c r="A494" s="17"/>
      <c r="B494" s="17"/>
      <c r="D494" s="18"/>
      <c r="E494" s="18"/>
      <c r="F494" s="18"/>
      <c r="G494" s="18"/>
      <c r="H494" s="58"/>
      <c r="I494" s="21"/>
      <c r="J494" s="22"/>
    </row>
    <row r="495" spans="1:10" ht="13.2" x14ac:dyDescent="0.25">
      <c r="A495" s="17"/>
      <c r="B495" s="17"/>
      <c r="D495" s="18"/>
      <c r="E495" s="18"/>
      <c r="F495" s="18"/>
      <c r="G495" s="18"/>
      <c r="H495" s="58"/>
      <c r="I495" s="21"/>
      <c r="J495" s="22"/>
    </row>
    <row r="496" spans="1:10" ht="13.2" x14ac:dyDescent="0.25">
      <c r="A496" s="17"/>
      <c r="B496" s="17"/>
      <c r="D496" s="18"/>
      <c r="E496" s="18"/>
      <c r="F496" s="18"/>
      <c r="G496" s="18"/>
      <c r="H496" s="58"/>
      <c r="I496" s="21"/>
      <c r="J496" s="22"/>
    </row>
    <row r="497" spans="1:10" ht="13.2" x14ac:dyDescent="0.25">
      <c r="A497" s="17"/>
      <c r="B497" s="17"/>
      <c r="D497" s="18"/>
      <c r="E497" s="18"/>
      <c r="F497" s="18"/>
      <c r="G497" s="18"/>
      <c r="H497" s="58"/>
      <c r="I497" s="21"/>
      <c r="J497" s="22"/>
    </row>
    <row r="498" spans="1:10" ht="13.2" x14ac:dyDescent="0.25">
      <c r="A498" s="17"/>
      <c r="B498" s="17"/>
      <c r="D498" s="18"/>
      <c r="E498" s="18"/>
      <c r="F498" s="18"/>
      <c r="G498" s="18"/>
      <c r="H498" s="58"/>
      <c r="I498" s="21"/>
      <c r="J498" s="22"/>
    </row>
    <row r="499" spans="1:10" ht="13.2" x14ac:dyDescent="0.25">
      <c r="A499" s="17"/>
      <c r="B499" s="17"/>
      <c r="D499" s="18"/>
      <c r="E499" s="18"/>
      <c r="F499" s="18"/>
      <c r="G499" s="18"/>
      <c r="H499" s="58"/>
      <c r="I499" s="21"/>
      <c r="J499" s="22"/>
    </row>
    <row r="500" spans="1:10" ht="13.2" x14ac:dyDescent="0.25">
      <c r="A500" s="17"/>
      <c r="B500" s="17"/>
      <c r="D500" s="18"/>
      <c r="E500" s="18"/>
      <c r="F500" s="18"/>
      <c r="G500" s="18"/>
      <c r="H500" s="58"/>
      <c r="I500" s="21"/>
      <c r="J500" s="22"/>
    </row>
    <row r="501" spans="1:10" ht="13.2" x14ac:dyDescent="0.25">
      <c r="A501" s="17"/>
      <c r="B501" s="17"/>
      <c r="D501" s="18"/>
      <c r="E501" s="18"/>
      <c r="F501" s="18"/>
      <c r="G501" s="18"/>
      <c r="H501" s="58"/>
      <c r="I501" s="21"/>
      <c r="J501" s="22"/>
    </row>
    <row r="502" spans="1:10" ht="13.2" x14ac:dyDescent="0.25">
      <c r="A502" s="17"/>
      <c r="B502" s="17"/>
      <c r="D502" s="18"/>
      <c r="E502" s="18"/>
      <c r="F502" s="18"/>
      <c r="G502" s="18"/>
      <c r="H502" s="58"/>
      <c r="I502" s="21"/>
      <c r="J502" s="22"/>
    </row>
    <row r="503" spans="1:10" ht="13.2" x14ac:dyDescent="0.25">
      <c r="A503" s="17"/>
      <c r="B503" s="17"/>
      <c r="D503" s="18"/>
      <c r="E503" s="18"/>
      <c r="F503" s="18"/>
      <c r="G503" s="18"/>
      <c r="H503" s="58"/>
      <c r="I503" s="21"/>
      <c r="J503" s="22"/>
    </row>
    <row r="504" spans="1:10" ht="13.2" x14ac:dyDescent="0.25">
      <c r="A504" s="17"/>
      <c r="B504" s="17"/>
      <c r="D504" s="18"/>
      <c r="E504" s="18"/>
      <c r="F504" s="18"/>
      <c r="G504" s="18"/>
      <c r="H504" s="58"/>
      <c r="I504" s="21"/>
      <c r="J504" s="22"/>
    </row>
    <row r="505" spans="1:10" ht="13.2" x14ac:dyDescent="0.25">
      <c r="A505" s="17"/>
      <c r="B505" s="17"/>
      <c r="D505" s="18"/>
      <c r="E505" s="18"/>
      <c r="F505" s="18"/>
      <c r="G505" s="18"/>
      <c r="H505" s="58"/>
      <c r="I505" s="21"/>
      <c r="J505" s="22"/>
    </row>
    <row r="506" spans="1:10" ht="13.2" x14ac:dyDescent="0.25">
      <c r="A506" s="17"/>
      <c r="B506" s="17"/>
      <c r="D506" s="18"/>
      <c r="E506" s="18"/>
      <c r="F506" s="18"/>
      <c r="G506" s="18"/>
      <c r="H506" s="58"/>
      <c r="I506" s="21"/>
      <c r="J506" s="22"/>
    </row>
    <row r="507" spans="1:10" ht="13.2" x14ac:dyDescent="0.25">
      <c r="A507" s="17"/>
      <c r="B507" s="17"/>
      <c r="D507" s="18"/>
      <c r="E507" s="18"/>
      <c r="F507" s="18"/>
      <c r="G507" s="18"/>
      <c r="H507" s="58"/>
      <c r="I507" s="21"/>
      <c r="J507" s="22"/>
    </row>
    <row r="508" spans="1:10" ht="13.2" x14ac:dyDescent="0.25">
      <c r="A508" s="17"/>
      <c r="B508" s="17"/>
      <c r="D508" s="18"/>
      <c r="E508" s="18"/>
      <c r="F508" s="18"/>
      <c r="G508" s="18"/>
      <c r="H508" s="58"/>
      <c r="I508" s="21"/>
      <c r="J508" s="22"/>
    </row>
    <row r="509" spans="1:10" ht="13.2" x14ac:dyDescent="0.25">
      <c r="A509" s="17"/>
      <c r="B509" s="17"/>
      <c r="D509" s="18"/>
      <c r="E509" s="18"/>
      <c r="F509" s="18"/>
      <c r="G509" s="18"/>
      <c r="H509" s="58"/>
      <c r="I509" s="21"/>
      <c r="J509" s="22"/>
    </row>
    <row r="510" spans="1:10" ht="13.2" x14ac:dyDescent="0.25">
      <c r="A510" s="17"/>
      <c r="B510" s="17"/>
      <c r="D510" s="18"/>
      <c r="E510" s="18"/>
      <c r="F510" s="18"/>
      <c r="G510" s="18"/>
      <c r="H510" s="58"/>
      <c r="I510" s="21"/>
      <c r="J510" s="22"/>
    </row>
    <row r="511" spans="1:10" ht="13.2" x14ac:dyDescent="0.25">
      <c r="A511" s="17"/>
      <c r="B511" s="17"/>
      <c r="D511" s="18"/>
      <c r="E511" s="18"/>
      <c r="F511" s="18"/>
      <c r="G511" s="18"/>
      <c r="H511" s="58"/>
      <c r="I511" s="21"/>
      <c r="J511" s="22"/>
    </row>
    <row r="512" spans="1:10" ht="13.2" x14ac:dyDescent="0.25">
      <c r="A512" s="17"/>
      <c r="B512" s="17"/>
      <c r="D512" s="18"/>
      <c r="E512" s="18"/>
      <c r="F512" s="18"/>
      <c r="G512" s="18"/>
      <c r="H512" s="58"/>
      <c r="I512" s="21"/>
      <c r="J512" s="22"/>
    </row>
    <row r="513" spans="1:10" ht="13.2" x14ac:dyDescent="0.25">
      <c r="A513" s="17"/>
      <c r="B513" s="17"/>
      <c r="D513" s="18"/>
      <c r="E513" s="18"/>
      <c r="F513" s="18"/>
      <c r="G513" s="18"/>
      <c r="H513" s="58"/>
      <c r="I513" s="21"/>
      <c r="J513" s="22"/>
    </row>
    <row r="514" spans="1:10" ht="13.2" x14ac:dyDescent="0.25">
      <c r="A514" s="17"/>
      <c r="B514" s="17"/>
      <c r="D514" s="18"/>
      <c r="E514" s="18"/>
      <c r="F514" s="18"/>
      <c r="G514" s="18"/>
      <c r="H514" s="58"/>
      <c r="I514" s="21"/>
      <c r="J514" s="22"/>
    </row>
    <row r="515" spans="1:10" ht="13.2" x14ac:dyDescent="0.25">
      <c r="A515" s="17"/>
      <c r="B515" s="17"/>
      <c r="D515" s="18"/>
      <c r="E515" s="18"/>
      <c r="F515" s="18"/>
      <c r="G515" s="18"/>
      <c r="H515" s="58"/>
      <c r="I515" s="21"/>
      <c r="J515" s="22"/>
    </row>
    <row r="516" spans="1:10" ht="13.2" x14ac:dyDescent="0.25">
      <c r="A516" s="17"/>
      <c r="B516" s="17"/>
      <c r="D516" s="18"/>
      <c r="E516" s="18"/>
      <c r="F516" s="18"/>
      <c r="G516" s="18"/>
      <c r="H516" s="58"/>
      <c r="I516" s="21"/>
      <c r="J516" s="22"/>
    </row>
    <row r="517" spans="1:10" ht="13.2" x14ac:dyDescent="0.25">
      <c r="A517" s="17"/>
      <c r="B517" s="17"/>
      <c r="D517" s="18"/>
      <c r="E517" s="18"/>
      <c r="F517" s="18"/>
      <c r="G517" s="18"/>
      <c r="H517" s="58"/>
      <c r="I517" s="21"/>
      <c r="J517" s="22"/>
    </row>
    <row r="518" spans="1:10" ht="13.2" x14ac:dyDescent="0.25">
      <c r="A518" s="17"/>
      <c r="B518" s="17"/>
      <c r="D518" s="18"/>
      <c r="E518" s="18"/>
      <c r="F518" s="18"/>
      <c r="G518" s="18"/>
      <c r="H518" s="58"/>
      <c r="I518" s="21"/>
      <c r="J518" s="22"/>
    </row>
    <row r="519" spans="1:10" ht="13.2" x14ac:dyDescent="0.25">
      <c r="A519" s="17"/>
      <c r="B519" s="17"/>
      <c r="D519" s="18"/>
      <c r="E519" s="18"/>
      <c r="F519" s="18"/>
      <c r="G519" s="18"/>
      <c r="H519" s="58"/>
      <c r="I519" s="21"/>
      <c r="J519" s="22"/>
    </row>
    <row r="520" spans="1:10" ht="13.2" x14ac:dyDescent="0.25">
      <c r="A520" s="17"/>
      <c r="B520" s="17"/>
      <c r="D520" s="18"/>
      <c r="E520" s="18"/>
      <c r="F520" s="18"/>
      <c r="G520" s="18"/>
      <c r="H520" s="58"/>
      <c r="I520" s="21"/>
      <c r="J520" s="22"/>
    </row>
    <row r="521" spans="1:10" ht="13.2" x14ac:dyDescent="0.25">
      <c r="A521" s="17"/>
      <c r="B521" s="17"/>
      <c r="D521" s="18"/>
      <c r="E521" s="18"/>
      <c r="F521" s="18"/>
      <c r="G521" s="18"/>
      <c r="H521" s="58"/>
      <c r="I521" s="21"/>
      <c r="J521" s="22"/>
    </row>
    <row r="522" spans="1:10" ht="13.2" x14ac:dyDescent="0.25">
      <c r="A522" s="17"/>
      <c r="B522" s="17"/>
      <c r="D522" s="18"/>
      <c r="E522" s="18"/>
      <c r="F522" s="18"/>
      <c r="G522" s="18"/>
      <c r="H522" s="58"/>
      <c r="I522" s="21"/>
      <c r="J522" s="22"/>
    </row>
    <row r="523" spans="1:10" ht="13.2" x14ac:dyDescent="0.25">
      <c r="A523" s="17"/>
      <c r="B523" s="17"/>
      <c r="D523" s="18"/>
      <c r="E523" s="18"/>
      <c r="F523" s="18"/>
      <c r="G523" s="18"/>
      <c r="H523" s="58"/>
      <c r="I523" s="21"/>
      <c r="J523" s="22"/>
    </row>
    <row r="524" spans="1:10" ht="13.2" x14ac:dyDescent="0.25">
      <c r="A524" s="17"/>
      <c r="B524" s="17"/>
      <c r="D524" s="18"/>
      <c r="E524" s="18"/>
      <c r="F524" s="18"/>
      <c r="G524" s="18"/>
      <c r="H524" s="58"/>
      <c r="I524" s="21"/>
      <c r="J524" s="22"/>
    </row>
    <row r="525" spans="1:10" ht="13.2" x14ac:dyDescent="0.25">
      <c r="A525" s="17"/>
      <c r="B525" s="17"/>
      <c r="D525" s="18"/>
      <c r="E525" s="18"/>
      <c r="F525" s="18"/>
      <c r="G525" s="18"/>
      <c r="H525" s="58"/>
      <c r="I525" s="21"/>
      <c r="J525" s="22"/>
    </row>
    <row r="526" spans="1:10" ht="13.2" x14ac:dyDescent="0.25">
      <c r="A526" s="17"/>
      <c r="B526" s="17"/>
      <c r="D526" s="18"/>
      <c r="E526" s="18"/>
      <c r="F526" s="18"/>
      <c r="G526" s="18"/>
      <c r="H526" s="58"/>
      <c r="I526" s="21"/>
      <c r="J526" s="22"/>
    </row>
    <row r="527" spans="1:10" ht="13.2" x14ac:dyDescent="0.25">
      <c r="A527" s="17"/>
      <c r="B527" s="17"/>
      <c r="D527" s="18"/>
      <c r="E527" s="18"/>
      <c r="F527" s="18"/>
      <c r="G527" s="18"/>
      <c r="H527" s="58"/>
      <c r="I527" s="21"/>
      <c r="J527" s="22"/>
    </row>
    <row r="528" spans="1:10" ht="13.2" x14ac:dyDescent="0.25">
      <c r="A528" s="17"/>
      <c r="B528" s="17"/>
      <c r="D528" s="18"/>
      <c r="E528" s="18"/>
      <c r="F528" s="18"/>
      <c r="G528" s="18"/>
      <c r="H528" s="58"/>
      <c r="I528" s="21"/>
      <c r="J528" s="22"/>
    </row>
    <row r="529" spans="1:10" ht="13.2" x14ac:dyDescent="0.25">
      <c r="A529" s="17"/>
      <c r="B529" s="17"/>
      <c r="D529" s="18"/>
      <c r="E529" s="18"/>
      <c r="F529" s="18"/>
      <c r="G529" s="18"/>
      <c r="H529" s="58"/>
      <c r="I529" s="21"/>
      <c r="J529" s="22"/>
    </row>
    <row r="530" spans="1:10" ht="13.2" x14ac:dyDescent="0.25">
      <c r="A530" s="17"/>
      <c r="B530" s="17"/>
      <c r="D530" s="18"/>
      <c r="E530" s="18"/>
      <c r="F530" s="18"/>
      <c r="G530" s="18"/>
      <c r="H530" s="58"/>
      <c r="I530" s="21"/>
      <c r="J530" s="22"/>
    </row>
    <row r="531" spans="1:10" ht="13.2" x14ac:dyDescent="0.25">
      <c r="A531" s="17"/>
      <c r="B531" s="17"/>
      <c r="D531" s="18"/>
      <c r="E531" s="18"/>
      <c r="F531" s="18"/>
      <c r="G531" s="18"/>
      <c r="H531" s="58"/>
      <c r="I531" s="21"/>
      <c r="J531" s="22"/>
    </row>
    <row r="532" spans="1:10" ht="13.2" x14ac:dyDescent="0.25">
      <c r="A532" s="17"/>
      <c r="B532" s="17"/>
      <c r="D532" s="18"/>
      <c r="E532" s="18"/>
      <c r="F532" s="18"/>
      <c r="G532" s="18"/>
      <c r="H532" s="58"/>
      <c r="I532" s="21"/>
      <c r="J532" s="22"/>
    </row>
    <row r="533" spans="1:10" ht="13.2" x14ac:dyDescent="0.25">
      <c r="A533" s="17"/>
      <c r="B533" s="17"/>
      <c r="D533" s="18"/>
      <c r="E533" s="18"/>
      <c r="F533" s="18"/>
      <c r="G533" s="18"/>
      <c r="H533" s="58"/>
      <c r="I533" s="21"/>
      <c r="J533" s="22"/>
    </row>
    <row r="534" spans="1:10" ht="13.2" x14ac:dyDescent="0.25">
      <c r="A534" s="17"/>
      <c r="B534" s="17"/>
      <c r="D534" s="18"/>
      <c r="E534" s="18"/>
      <c r="F534" s="18"/>
      <c r="G534" s="18"/>
      <c r="H534" s="58"/>
      <c r="I534" s="21"/>
      <c r="J534" s="22"/>
    </row>
    <row r="535" spans="1:10" ht="13.2" x14ac:dyDescent="0.25">
      <c r="A535" s="17"/>
      <c r="B535" s="17"/>
      <c r="D535" s="18"/>
      <c r="E535" s="18"/>
      <c r="F535" s="18"/>
      <c r="G535" s="18"/>
      <c r="H535" s="58"/>
      <c r="I535" s="21"/>
      <c r="J535" s="22"/>
    </row>
    <row r="536" spans="1:10" ht="13.2" x14ac:dyDescent="0.25">
      <c r="A536" s="17"/>
      <c r="B536" s="17"/>
      <c r="D536" s="18"/>
      <c r="E536" s="18"/>
      <c r="F536" s="18"/>
      <c r="G536" s="18"/>
      <c r="H536" s="58"/>
      <c r="I536" s="21"/>
      <c r="J536" s="22"/>
    </row>
    <row r="537" spans="1:10" ht="13.2" x14ac:dyDescent="0.25">
      <c r="A537" s="17"/>
      <c r="B537" s="17"/>
      <c r="D537" s="18"/>
      <c r="E537" s="18"/>
      <c r="F537" s="18"/>
      <c r="G537" s="18"/>
      <c r="H537" s="58"/>
      <c r="I537" s="21"/>
      <c r="J537" s="22"/>
    </row>
    <row r="538" spans="1:10" ht="13.2" x14ac:dyDescent="0.25">
      <c r="A538" s="17"/>
      <c r="B538" s="17"/>
      <c r="D538" s="18"/>
      <c r="E538" s="18"/>
      <c r="F538" s="18"/>
      <c r="G538" s="18"/>
      <c r="H538" s="58"/>
      <c r="I538" s="21"/>
      <c r="J538" s="22"/>
    </row>
    <row r="539" spans="1:10" ht="13.2" x14ac:dyDescent="0.25">
      <c r="A539" s="17"/>
      <c r="B539" s="17"/>
      <c r="D539" s="18"/>
      <c r="E539" s="18"/>
      <c r="F539" s="18"/>
      <c r="G539" s="18"/>
      <c r="H539" s="58"/>
      <c r="I539" s="21"/>
      <c r="J539" s="22"/>
    </row>
    <row r="540" spans="1:10" ht="13.2" x14ac:dyDescent="0.25">
      <c r="A540" s="17"/>
      <c r="B540" s="17"/>
      <c r="D540" s="18"/>
      <c r="E540" s="18"/>
      <c r="F540" s="18"/>
      <c r="G540" s="18"/>
      <c r="H540" s="58"/>
      <c r="I540" s="21"/>
      <c r="J540" s="22"/>
    </row>
    <row r="541" spans="1:10" ht="13.2" x14ac:dyDescent="0.25">
      <c r="A541" s="17"/>
      <c r="B541" s="17"/>
      <c r="D541" s="18"/>
      <c r="E541" s="18"/>
      <c r="F541" s="18"/>
      <c r="G541" s="18"/>
      <c r="H541" s="58"/>
      <c r="I541" s="21"/>
      <c r="J541" s="22"/>
    </row>
    <row r="542" spans="1:10" ht="13.2" x14ac:dyDescent="0.25">
      <c r="A542" s="17"/>
      <c r="B542" s="17"/>
      <c r="D542" s="18"/>
      <c r="E542" s="18"/>
      <c r="F542" s="18"/>
      <c r="G542" s="18"/>
      <c r="H542" s="58"/>
      <c r="I542" s="21"/>
      <c r="J542" s="22"/>
    </row>
    <row r="543" spans="1:10" ht="13.2" x14ac:dyDescent="0.25">
      <c r="A543" s="17"/>
      <c r="B543" s="17"/>
      <c r="D543" s="18"/>
      <c r="E543" s="18"/>
      <c r="F543" s="18"/>
      <c r="G543" s="18"/>
      <c r="H543" s="58"/>
      <c r="I543" s="21"/>
      <c r="J543" s="22"/>
    </row>
    <row r="544" spans="1:10" ht="13.2" x14ac:dyDescent="0.25">
      <c r="A544" s="17"/>
      <c r="B544" s="17"/>
      <c r="D544" s="18"/>
      <c r="E544" s="18"/>
      <c r="F544" s="18"/>
      <c r="G544" s="18"/>
      <c r="H544" s="58"/>
      <c r="I544" s="21"/>
      <c r="J544" s="22"/>
    </row>
    <row r="545" spans="1:10" ht="13.2" x14ac:dyDescent="0.25">
      <c r="A545" s="17"/>
      <c r="B545" s="17"/>
      <c r="D545" s="18"/>
      <c r="E545" s="18"/>
      <c r="F545" s="18"/>
      <c r="G545" s="18"/>
      <c r="H545" s="58"/>
      <c r="I545" s="21"/>
      <c r="J545" s="22"/>
    </row>
    <row r="546" spans="1:10" ht="13.2" x14ac:dyDescent="0.25">
      <c r="A546" s="17"/>
      <c r="B546" s="17"/>
      <c r="D546" s="18"/>
      <c r="E546" s="18"/>
      <c r="F546" s="18"/>
      <c r="G546" s="18"/>
      <c r="H546" s="58"/>
      <c r="I546" s="21"/>
      <c r="J546" s="22"/>
    </row>
    <row r="547" spans="1:10" ht="13.2" x14ac:dyDescent="0.25">
      <c r="A547" s="17"/>
      <c r="B547" s="17"/>
      <c r="D547" s="18"/>
      <c r="E547" s="18"/>
      <c r="F547" s="18"/>
      <c r="G547" s="18"/>
      <c r="H547" s="58"/>
      <c r="I547" s="21"/>
      <c r="J547" s="22"/>
    </row>
    <row r="548" spans="1:10" ht="13.2" x14ac:dyDescent="0.25">
      <c r="A548" s="17"/>
      <c r="B548" s="17"/>
      <c r="D548" s="18"/>
      <c r="E548" s="18"/>
      <c r="F548" s="18"/>
      <c r="G548" s="18"/>
      <c r="H548" s="58"/>
      <c r="I548" s="21"/>
      <c r="J548" s="22"/>
    </row>
    <row r="549" spans="1:10" ht="13.2" x14ac:dyDescent="0.25">
      <c r="A549" s="17"/>
      <c r="B549" s="17"/>
      <c r="D549" s="18"/>
      <c r="E549" s="18"/>
      <c r="F549" s="18"/>
      <c r="G549" s="18"/>
      <c r="H549" s="58"/>
      <c r="I549" s="21"/>
      <c r="J549" s="22"/>
    </row>
    <row r="550" spans="1:10" ht="13.2" x14ac:dyDescent="0.25">
      <c r="A550" s="17"/>
      <c r="B550" s="17"/>
      <c r="D550" s="18"/>
      <c r="E550" s="18"/>
      <c r="F550" s="18"/>
      <c r="G550" s="18"/>
      <c r="H550" s="58"/>
      <c r="I550" s="21"/>
      <c r="J550" s="22"/>
    </row>
    <row r="551" spans="1:10" ht="13.2" x14ac:dyDescent="0.25">
      <c r="A551" s="17"/>
      <c r="B551" s="17"/>
      <c r="D551" s="18"/>
      <c r="E551" s="18"/>
      <c r="F551" s="18"/>
      <c r="G551" s="18"/>
      <c r="H551" s="58"/>
      <c r="I551" s="21"/>
      <c r="J551" s="22"/>
    </row>
    <row r="552" spans="1:10" ht="13.2" x14ac:dyDescent="0.25">
      <c r="A552" s="17"/>
      <c r="B552" s="17"/>
      <c r="D552" s="18"/>
      <c r="E552" s="18"/>
      <c r="F552" s="18"/>
      <c r="G552" s="18"/>
      <c r="H552" s="58"/>
      <c r="I552" s="21"/>
      <c r="J552" s="22"/>
    </row>
    <row r="553" spans="1:10" ht="13.2" x14ac:dyDescent="0.25">
      <c r="A553" s="17"/>
      <c r="B553" s="17"/>
      <c r="D553" s="18"/>
      <c r="E553" s="18"/>
      <c r="F553" s="18"/>
      <c r="G553" s="18"/>
      <c r="H553" s="58"/>
      <c r="I553" s="21"/>
      <c r="J553" s="22"/>
    </row>
    <row r="554" spans="1:10" ht="13.2" x14ac:dyDescent="0.25">
      <c r="A554" s="17"/>
      <c r="B554" s="17"/>
      <c r="D554" s="18"/>
      <c r="E554" s="18"/>
      <c r="F554" s="18"/>
      <c r="G554" s="18"/>
      <c r="H554" s="58"/>
      <c r="I554" s="21"/>
      <c r="J554" s="22"/>
    </row>
    <row r="555" spans="1:10" ht="13.2" x14ac:dyDescent="0.25">
      <c r="A555" s="17"/>
      <c r="B555" s="17"/>
      <c r="D555" s="18"/>
      <c r="E555" s="18"/>
      <c r="F555" s="18"/>
      <c r="G555" s="18"/>
      <c r="H555" s="58"/>
      <c r="I555" s="21"/>
      <c r="J555" s="22"/>
    </row>
    <row r="556" spans="1:10" ht="13.2" x14ac:dyDescent="0.25">
      <c r="A556" s="17"/>
      <c r="B556" s="17"/>
      <c r="D556" s="18"/>
      <c r="E556" s="18"/>
      <c r="F556" s="18"/>
      <c r="G556" s="18"/>
      <c r="H556" s="58"/>
      <c r="I556" s="21"/>
      <c r="J556" s="22"/>
    </row>
    <row r="557" spans="1:10" ht="13.2" x14ac:dyDescent="0.25">
      <c r="A557" s="17"/>
      <c r="B557" s="17"/>
      <c r="D557" s="18"/>
      <c r="E557" s="18"/>
      <c r="F557" s="18"/>
      <c r="G557" s="18"/>
      <c r="H557" s="58"/>
      <c r="I557" s="21"/>
      <c r="J557" s="22"/>
    </row>
    <row r="558" spans="1:10" ht="13.2" x14ac:dyDescent="0.25">
      <c r="A558" s="17"/>
      <c r="B558" s="17"/>
      <c r="D558" s="18"/>
      <c r="E558" s="18"/>
      <c r="F558" s="18"/>
      <c r="G558" s="18"/>
      <c r="H558" s="58"/>
      <c r="I558" s="21"/>
      <c r="J558" s="22"/>
    </row>
    <row r="559" spans="1:10" ht="13.2" x14ac:dyDescent="0.25">
      <c r="A559" s="17"/>
      <c r="B559" s="17"/>
      <c r="D559" s="18"/>
      <c r="E559" s="18"/>
      <c r="F559" s="18"/>
      <c r="G559" s="18"/>
      <c r="H559" s="58"/>
      <c r="I559" s="21"/>
      <c r="J559" s="22"/>
    </row>
    <row r="560" spans="1:10" ht="13.2" x14ac:dyDescent="0.25">
      <c r="A560" s="17"/>
      <c r="B560" s="17"/>
      <c r="D560" s="18"/>
      <c r="E560" s="18"/>
      <c r="F560" s="18"/>
      <c r="G560" s="18"/>
      <c r="H560" s="58"/>
      <c r="I560" s="21"/>
      <c r="J560" s="22"/>
    </row>
    <row r="561" spans="1:10" ht="13.2" x14ac:dyDescent="0.25">
      <c r="A561" s="17"/>
      <c r="B561" s="17"/>
      <c r="D561" s="18"/>
      <c r="E561" s="18"/>
      <c r="F561" s="18"/>
      <c r="G561" s="18"/>
      <c r="H561" s="58"/>
      <c r="I561" s="21"/>
      <c r="J561" s="22"/>
    </row>
    <row r="562" spans="1:10" ht="13.2" x14ac:dyDescent="0.25">
      <c r="A562" s="17"/>
      <c r="B562" s="17"/>
      <c r="D562" s="18"/>
      <c r="E562" s="18"/>
      <c r="F562" s="18"/>
      <c r="G562" s="18"/>
      <c r="H562" s="58"/>
      <c r="I562" s="21"/>
      <c r="J562" s="22"/>
    </row>
    <row r="563" spans="1:10" ht="13.2" x14ac:dyDescent="0.25">
      <c r="A563" s="17"/>
      <c r="B563" s="17"/>
      <c r="D563" s="18"/>
      <c r="E563" s="18"/>
      <c r="F563" s="18"/>
      <c r="G563" s="18"/>
      <c r="H563" s="58"/>
      <c r="I563" s="21"/>
      <c r="J563" s="22"/>
    </row>
    <row r="564" spans="1:10" ht="13.2" x14ac:dyDescent="0.25">
      <c r="A564" s="17"/>
      <c r="B564" s="17"/>
      <c r="D564" s="18"/>
      <c r="E564" s="18"/>
      <c r="F564" s="18"/>
      <c r="G564" s="18"/>
      <c r="H564" s="58"/>
      <c r="I564" s="21"/>
      <c r="J564" s="22"/>
    </row>
    <row r="565" spans="1:10" ht="13.2" x14ac:dyDescent="0.25">
      <c r="A565" s="17"/>
      <c r="B565" s="17"/>
      <c r="D565" s="18"/>
      <c r="E565" s="18"/>
      <c r="F565" s="18"/>
      <c r="G565" s="18"/>
      <c r="H565" s="58"/>
      <c r="I565" s="21"/>
      <c r="J565" s="22"/>
    </row>
    <row r="566" spans="1:10" ht="13.2" x14ac:dyDescent="0.25">
      <c r="A566" s="17"/>
      <c r="B566" s="17"/>
      <c r="D566" s="18"/>
      <c r="E566" s="18"/>
      <c r="F566" s="18"/>
      <c r="G566" s="18"/>
      <c r="H566" s="58"/>
      <c r="I566" s="21"/>
      <c r="J566" s="22"/>
    </row>
    <row r="567" spans="1:10" ht="13.2" x14ac:dyDescent="0.25">
      <c r="A567" s="17"/>
      <c r="B567" s="17"/>
      <c r="D567" s="18"/>
      <c r="E567" s="18"/>
      <c r="F567" s="18"/>
      <c r="G567" s="18"/>
      <c r="H567" s="58"/>
      <c r="I567" s="21"/>
      <c r="J567" s="22"/>
    </row>
    <row r="568" spans="1:10" ht="13.2" x14ac:dyDescent="0.25">
      <c r="A568" s="17"/>
      <c r="B568" s="17"/>
      <c r="D568" s="18"/>
      <c r="E568" s="18"/>
      <c r="F568" s="18"/>
      <c r="G568" s="18"/>
      <c r="H568" s="58"/>
      <c r="I568" s="21"/>
      <c r="J568" s="22"/>
    </row>
    <row r="569" spans="1:10" ht="13.2" x14ac:dyDescent="0.25">
      <c r="A569" s="17"/>
      <c r="B569" s="17"/>
      <c r="D569" s="18"/>
      <c r="E569" s="18"/>
      <c r="F569" s="18"/>
      <c r="G569" s="18"/>
      <c r="H569" s="58"/>
      <c r="I569" s="21"/>
      <c r="J569" s="22"/>
    </row>
    <row r="570" spans="1:10" ht="13.2" x14ac:dyDescent="0.25">
      <c r="A570" s="17"/>
      <c r="B570" s="17"/>
      <c r="D570" s="18"/>
      <c r="E570" s="18"/>
      <c r="F570" s="18"/>
      <c r="G570" s="18"/>
      <c r="H570" s="58"/>
      <c r="I570" s="21"/>
      <c r="J570" s="22"/>
    </row>
    <row r="571" spans="1:10" ht="13.2" x14ac:dyDescent="0.25">
      <c r="A571" s="17"/>
      <c r="B571" s="17"/>
      <c r="D571" s="18"/>
      <c r="E571" s="18"/>
      <c r="F571" s="18"/>
      <c r="G571" s="18"/>
      <c r="H571" s="58"/>
      <c r="I571" s="21"/>
      <c r="J571" s="22"/>
    </row>
    <row r="572" spans="1:10" ht="13.2" x14ac:dyDescent="0.25">
      <c r="A572" s="17"/>
      <c r="B572" s="17"/>
      <c r="D572" s="18"/>
      <c r="E572" s="18"/>
      <c r="F572" s="18"/>
      <c r="G572" s="18"/>
      <c r="H572" s="58"/>
      <c r="I572" s="21"/>
      <c r="J572" s="22"/>
    </row>
    <row r="573" spans="1:10" ht="13.2" x14ac:dyDescent="0.25">
      <c r="A573" s="17"/>
      <c r="B573" s="17"/>
      <c r="D573" s="18"/>
      <c r="E573" s="18"/>
      <c r="F573" s="18"/>
      <c r="G573" s="18"/>
      <c r="H573" s="58"/>
      <c r="I573" s="21"/>
      <c r="J573" s="22"/>
    </row>
    <row r="574" spans="1:10" ht="13.2" x14ac:dyDescent="0.25">
      <c r="A574" s="17"/>
      <c r="B574" s="17"/>
      <c r="D574" s="18"/>
      <c r="E574" s="18"/>
      <c r="F574" s="18"/>
      <c r="G574" s="18"/>
      <c r="H574" s="58"/>
      <c r="I574" s="21"/>
      <c r="J574" s="22"/>
    </row>
    <row r="575" spans="1:10" ht="13.2" x14ac:dyDescent="0.25">
      <c r="A575" s="17"/>
      <c r="B575" s="17"/>
      <c r="D575" s="18"/>
      <c r="E575" s="18"/>
      <c r="F575" s="18"/>
      <c r="G575" s="18"/>
      <c r="H575" s="58"/>
      <c r="I575" s="21"/>
      <c r="J575" s="22"/>
    </row>
    <row r="576" spans="1:10" ht="13.2" x14ac:dyDescent="0.25">
      <c r="A576" s="17"/>
      <c r="B576" s="17"/>
      <c r="D576" s="18"/>
      <c r="E576" s="18"/>
      <c r="F576" s="18"/>
      <c r="G576" s="18"/>
      <c r="H576" s="58"/>
      <c r="I576" s="21"/>
      <c r="J576" s="22"/>
    </row>
    <row r="577" spans="1:10" ht="13.2" x14ac:dyDescent="0.25">
      <c r="A577" s="17"/>
      <c r="B577" s="17"/>
      <c r="D577" s="18"/>
      <c r="E577" s="18"/>
      <c r="F577" s="18"/>
      <c r="G577" s="18"/>
      <c r="H577" s="58"/>
      <c r="I577" s="21"/>
      <c r="J577" s="22"/>
    </row>
    <row r="578" spans="1:10" ht="13.2" x14ac:dyDescent="0.25">
      <c r="A578" s="17"/>
      <c r="B578" s="17"/>
      <c r="D578" s="18"/>
      <c r="E578" s="18"/>
      <c r="F578" s="18"/>
      <c r="G578" s="18"/>
      <c r="H578" s="58"/>
      <c r="I578" s="21"/>
      <c r="J578" s="22"/>
    </row>
    <row r="579" spans="1:10" ht="13.2" x14ac:dyDescent="0.25">
      <c r="A579" s="17"/>
      <c r="B579" s="17"/>
      <c r="D579" s="18"/>
      <c r="E579" s="18"/>
      <c r="F579" s="18"/>
      <c r="G579" s="18"/>
      <c r="H579" s="58"/>
      <c r="I579" s="21"/>
      <c r="J579" s="22"/>
    </row>
    <row r="580" spans="1:10" ht="13.2" x14ac:dyDescent="0.25">
      <c r="A580" s="17"/>
      <c r="B580" s="17"/>
      <c r="D580" s="18"/>
      <c r="E580" s="18"/>
      <c r="F580" s="18"/>
      <c r="G580" s="18"/>
      <c r="H580" s="58"/>
      <c r="I580" s="21"/>
      <c r="J580" s="22"/>
    </row>
    <row r="581" spans="1:10" ht="13.2" x14ac:dyDescent="0.25">
      <c r="A581" s="17"/>
      <c r="B581" s="17"/>
      <c r="D581" s="18"/>
      <c r="E581" s="18"/>
      <c r="F581" s="18"/>
      <c r="G581" s="18"/>
      <c r="H581" s="58"/>
      <c r="I581" s="21"/>
      <c r="J581" s="22"/>
    </row>
    <row r="582" spans="1:10" ht="13.2" x14ac:dyDescent="0.25">
      <c r="A582" s="17"/>
      <c r="B582" s="17"/>
      <c r="D582" s="18"/>
      <c r="E582" s="18"/>
      <c r="F582" s="18"/>
      <c r="G582" s="18"/>
      <c r="H582" s="58"/>
      <c r="I582" s="21"/>
      <c r="J582" s="22"/>
    </row>
    <row r="583" spans="1:10" ht="13.2" x14ac:dyDescent="0.25">
      <c r="A583" s="17"/>
      <c r="B583" s="17"/>
      <c r="D583" s="18"/>
      <c r="E583" s="18"/>
      <c r="F583" s="18"/>
      <c r="G583" s="18"/>
      <c r="H583" s="58"/>
      <c r="I583" s="21"/>
      <c r="J583" s="22"/>
    </row>
    <row r="584" spans="1:10" ht="13.2" x14ac:dyDescent="0.25">
      <c r="A584" s="17"/>
      <c r="B584" s="17"/>
      <c r="D584" s="18"/>
      <c r="E584" s="18"/>
      <c r="F584" s="18"/>
      <c r="G584" s="18"/>
      <c r="H584" s="58"/>
      <c r="I584" s="21"/>
      <c r="J584" s="22"/>
    </row>
    <row r="585" spans="1:10" ht="13.2" x14ac:dyDescent="0.25">
      <c r="A585" s="17"/>
      <c r="B585" s="17"/>
      <c r="D585" s="18"/>
      <c r="E585" s="18"/>
      <c r="F585" s="18"/>
      <c r="G585" s="18"/>
      <c r="H585" s="58"/>
      <c r="I585" s="21"/>
      <c r="J585" s="22"/>
    </row>
    <row r="586" spans="1:10" ht="13.2" x14ac:dyDescent="0.25">
      <c r="A586" s="17"/>
      <c r="B586" s="17"/>
      <c r="D586" s="18"/>
      <c r="E586" s="18"/>
      <c r="F586" s="18"/>
      <c r="G586" s="18"/>
      <c r="H586" s="58"/>
      <c r="I586" s="21"/>
      <c r="J586" s="22"/>
    </row>
    <row r="587" spans="1:10" ht="13.2" x14ac:dyDescent="0.25">
      <c r="A587" s="17"/>
      <c r="B587" s="17"/>
      <c r="D587" s="18"/>
      <c r="E587" s="18"/>
      <c r="F587" s="18"/>
      <c r="G587" s="18"/>
      <c r="H587" s="58"/>
      <c r="I587" s="21"/>
      <c r="J587" s="22"/>
    </row>
    <row r="588" spans="1:10" ht="13.2" x14ac:dyDescent="0.25">
      <c r="A588" s="17"/>
      <c r="B588" s="17"/>
      <c r="D588" s="18"/>
      <c r="E588" s="18"/>
      <c r="F588" s="18"/>
      <c r="G588" s="18"/>
      <c r="H588" s="58"/>
      <c r="I588" s="21"/>
      <c r="J588" s="22"/>
    </row>
    <row r="589" spans="1:10" ht="13.2" x14ac:dyDescent="0.25">
      <c r="A589" s="17"/>
      <c r="B589" s="17"/>
      <c r="D589" s="18"/>
      <c r="E589" s="18"/>
      <c r="F589" s="18"/>
      <c r="G589" s="18"/>
      <c r="H589" s="58"/>
      <c r="I589" s="21"/>
      <c r="J589" s="22"/>
    </row>
    <row r="590" spans="1:10" ht="13.2" x14ac:dyDescent="0.25">
      <c r="A590" s="17"/>
      <c r="B590" s="17"/>
      <c r="D590" s="18"/>
      <c r="E590" s="18"/>
      <c r="F590" s="18"/>
      <c r="G590" s="18"/>
      <c r="H590" s="58"/>
      <c r="I590" s="21"/>
      <c r="J590" s="22"/>
    </row>
    <row r="591" spans="1:10" ht="13.2" x14ac:dyDescent="0.25">
      <c r="A591" s="17"/>
      <c r="B591" s="17"/>
      <c r="D591" s="18"/>
      <c r="E591" s="18"/>
      <c r="F591" s="18"/>
      <c r="G591" s="18"/>
      <c r="H591" s="58"/>
      <c r="I591" s="21"/>
      <c r="J591" s="22"/>
    </row>
    <row r="592" spans="1:10" ht="13.2" x14ac:dyDescent="0.25">
      <c r="A592" s="17"/>
      <c r="B592" s="17"/>
      <c r="D592" s="18"/>
      <c r="E592" s="18"/>
      <c r="F592" s="18"/>
      <c r="G592" s="18"/>
      <c r="H592" s="58"/>
      <c r="I592" s="21"/>
      <c r="J592" s="22"/>
    </row>
    <row r="593" spans="1:10" ht="13.2" x14ac:dyDescent="0.25">
      <c r="A593" s="17"/>
      <c r="B593" s="17"/>
      <c r="D593" s="18"/>
      <c r="E593" s="18"/>
      <c r="F593" s="18"/>
      <c r="G593" s="18"/>
      <c r="H593" s="58"/>
      <c r="I593" s="21"/>
      <c r="J593" s="22"/>
    </row>
    <row r="594" spans="1:10" ht="13.2" x14ac:dyDescent="0.25">
      <c r="A594" s="17"/>
      <c r="B594" s="17"/>
      <c r="D594" s="18"/>
      <c r="E594" s="18"/>
      <c r="F594" s="18"/>
      <c r="G594" s="18"/>
      <c r="H594" s="58"/>
      <c r="I594" s="21"/>
      <c r="J594" s="22"/>
    </row>
    <row r="595" spans="1:10" ht="13.2" x14ac:dyDescent="0.25">
      <c r="A595" s="17"/>
      <c r="B595" s="17"/>
      <c r="D595" s="18"/>
      <c r="E595" s="18"/>
      <c r="F595" s="18"/>
      <c r="G595" s="18"/>
      <c r="H595" s="58"/>
      <c r="I595" s="21"/>
      <c r="J595" s="22"/>
    </row>
    <row r="596" spans="1:10" ht="13.2" x14ac:dyDescent="0.25">
      <c r="A596" s="17"/>
      <c r="B596" s="17"/>
      <c r="D596" s="18"/>
      <c r="E596" s="18"/>
      <c r="F596" s="18"/>
      <c r="G596" s="18"/>
      <c r="H596" s="58"/>
      <c r="I596" s="21"/>
      <c r="J596" s="22"/>
    </row>
    <row r="597" spans="1:10" ht="13.2" x14ac:dyDescent="0.25">
      <c r="A597" s="17"/>
      <c r="B597" s="17"/>
      <c r="D597" s="18"/>
      <c r="E597" s="18"/>
      <c r="F597" s="18"/>
      <c r="G597" s="18"/>
      <c r="H597" s="58"/>
      <c r="I597" s="21"/>
      <c r="J597" s="22"/>
    </row>
    <row r="598" spans="1:10" ht="13.2" x14ac:dyDescent="0.25">
      <c r="A598" s="17"/>
      <c r="B598" s="17"/>
      <c r="D598" s="18"/>
      <c r="E598" s="18"/>
      <c r="F598" s="18"/>
      <c r="G598" s="18"/>
      <c r="H598" s="58"/>
      <c r="I598" s="21"/>
      <c r="J598" s="22"/>
    </row>
    <row r="599" spans="1:10" ht="13.2" x14ac:dyDescent="0.25">
      <c r="A599" s="17"/>
      <c r="B599" s="17"/>
      <c r="D599" s="18"/>
      <c r="E599" s="18"/>
      <c r="F599" s="18"/>
      <c r="G599" s="18"/>
      <c r="H599" s="58"/>
      <c r="I599" s="21"/>
      <c r="J599" s="22"/>
    </row>
    <row r="600" spans="1:10" ht="13.2" x14ac:dyDescent="0.25">
      <c r="A600" s="17"/>
      <c r="B600" s="17"/>
      <c r="D600" s="18"/>
      <c r="E600" s="18"/>
      <c r="F600" s="18"/>
      <c r="G600" s="18"/>
      <c r="H600" s="58"/>
      <c r="I600" s="21"/>
      <c r="J600" s="22"/>
    </row>
    <row r="601" spans="1:10" ht="13.2" x14ac:dyDescent="0.25">
      <c r="A601" s="17"/>
      <c r="B601" s="17"/>
      <c r="D601" s="18"/>
      <c r="E601" s="18"/>
      <c r="F601" s="18"/>
      <c r="G601" s="18"/>
      <c r="H601" s="58"/>
      <c r="I601" s="21"/>
      <c r="J601" s="22"/>
    </row>
    <row r="602" spans="1:10" ht="13.2" x14ac:dyDescent="0.25">
      <c r="A602" s="17"/>
      <c r="B602" s="17"/>
      <c r="D602" s="18"/>
      <c r="E602" s="18"/>
      <c r="F602" s="18"/>
      <c r="G602" s="18"/>
      <c r="H602" s="58"/>
      <c r="I602" s="21"/>
      <c r="J602" s="22"/>
    </row>
    <row r="603" spans="1:10" ht="13.2" x14ac:dyDescent="0.25">
      <c r="A603" s="17"/>
      <c r="B603" s="17"/>
      <c r="D603" s="18"/>
      <c r="E603" s="18"/>
      <c r="F603" s="18"/>
      <c r="G603" s="18"/>
      <c r="H603" s="58"/>
      <c r="I603" s="21"/>
      <c r="J603" s="22"/>
    </row>
    <row r="604" spans="1:10" ht="13.2" x14ac:dyDescent="0.25">
      <c r="A604" s="17"/>
      <c r="B604" s="17"/>
      <c r="D604" s="18"/>
      <c r="E604" s="18"/>
      <c r="F604" s="18"/>
      <c r="G604" s="18"/>
      <c r="H604" s="58"/>
      <c r="I604" s="21"/>
      <c r="J604" s="22"/>
    </row>
    <row r="605" spans="1:10" ht="13.2" x14ac:dyDescent="0.25">
      <c r="A605" s="17"/>
      <c r="B605" s="17"/>
      <c r="D605" s="18"/>
      <c r="E605" s="18"/>
      <c r="F605" s="18"/>
      <c r="G605" s="18"/>
      <c r="H605" s="58"/>
      <c r="I605" s="21"/>
      <c r="J605" s="22"/>
    </row>
    <row r="606" spans="1:10" ht="13.2" x14ac:dyDescent="0.25">
      <c r="A606" s="17"/>
      <c r="B606" s="17"/>
      <c r="D606" s="18"/>
      <c r="E606" s="18"/>
      <c r="F606" s="18"/>
      <c r="G606" s="18"/>
      <c r="H606" s="58"/>
      <c r="I606" s="21"/>
      <c r="J606" s="22"/>
    </row>
    <row r="607" spans="1:10" ht="13.2" x14ac:dyDescent="0.25">
      <c r="A607" s="17"/>
      <c r="B607" s="17"/>
      <c r="D607" s="18"/>
      <c r="E607" s="18"/>
      <c r="F607" s="18"/>
      <c r="G607" s="18"/>
      <c r="H607" s="58"/>
      <c r="I607" s="21"/>
      <c r="J607" s="22"/>
    </row>
    <row r="608" spans="1:10" ht="13.2" x14ac:dyDescent="0.25">
      <c r="A608" s="17"/>
      <c r="B608" s="17"/>
      <c r="D608" s="18"/>
      <c r="E608" s="18"/>
      <c r="F608" s="18"/>
      <c r="G608" s="18"/>
      <c r="H608" s="58"/>
      <c r="I608" s="21"/>
      <c r="J608" s="22"/>
    </row>
    <row r="609" spans="1:10" ht="13.2" x14ac:dyDescent="0.25">
      <c r="A609" s="17"/>
      <c r="B609" s="17"/>
      <c r="D609" s="18"/>
      <c r="E609" s="18"/>
      <c r="F609" s="18"/>
      <c r="G609" s="18"/>
      <c r="H609" s="58"/>
      <c r="I609" s="21"/>
      <c r="J609" s="22"/>
    </row>
    <row r="610" spans="1:10" ht="13.2" x14ac:dyDescent="0.25">
      <c r="A610" s="17"/>
      <c r="B610" s="17"/>
      <c r="D610" s="18"/>
      <c r="E610" s="18"/>
      <c r="F610" s="18"/>
      <c r="G610" s="18"/>
      <c r="H610" s="58"/>
      <c r="I610" s="21"/>
      <c r="J610" s="22"/>
    </row>
    <row r="611" spans="1:10" ht="13.2" x14ac:dyDescent="0.25">
      <c r="A611" s="17"/>
      <c r="B611" s="17"/>
      <c r="D611" s="18"/>
      <c r="E611" s="18"/>
      <c r="F611" s="18"/>
      <c r="G611" s="18"/>
      <c r="H611" s="58"/>
      <c r="I611" s="21"/>
      <c r="J611" s="22"/>
    </row>
    <row r="612" spans="1:10" ht="13.2" x14ac:dyDescent="0.25">
      <c r="A612" s="17"/>
      <c r="B612" s="17"/>
      <c r="D612" s="18"/>
      <c r="E612" s="18"/>
      <c r="F612" s="18"/>
      <c r="G612" s="18"/>
      <c r="H612" s="58"/>
      <c r="I612" s="21"/>
      <c r="J612" s="22"/>
    </row>
    <row r="613" spans="1:10" ht="13.2" x14ac:dyDescent="0.25">
      <c r="A613" s="17"/>
      <c r="B613" s="17"/>
      <c r="D613" s="18"/>
      <c r="E613" s="18"/>
      <c r="F613" s="18"/>
      <c r="G613" s="18"/>
      <c r="H613" s="58"/>
      <c r="I613" s="21"/>
      <c r="J613" s="22"/>
    </row>
    <row r="614" spans="1:10" ht="13.2" x14ac:dyDescent="0.25">
      <c r="A614" s="17"/>
      <c r="B614" s="17"/>
      <c r="D614" s="18"/>
      <c r="E614" s="18"/>
      <c r="F614" s="18"/>
      <c r="G614" s="18"/>
      <c r="H614" s="58"/>
      <c r="I614" s="21"/>
      <c r="J614" s="22"/>
    </row>
    <row r="615" spans="1:10" ht="13.2" x14ac:dyDescent="0.25">
      <c r="A615" s="17"/>
      <c r="B615" s="17"/>
      <c r="D615" s="18"/>
      <c r="E615" s="18"/>
      <c r="F615" s="18"/>
      <c r="G615" s="18"/>
      <c r="H615" s="58"/>
      <c r="I615" s="21"/>
      <c r="J615" s="22"/>
    </row>
    <row r="616" spans="1:10" ht="13.2" x14ac:dyDescent="0.25">
      <c r="A616" s="17"/>
      <c r="B616" s="17"/>
      <c r="D616" s="18"/>
      <c r="E616" s="18"/>
      <c r="F616" s="18"/>
      <c r="G616" s="18"/>
      <c r="H616" s="58"/>
      <c r="I616" s="21"/>
      <c r="J616" s="22"/>
    </row>
    <row r="617" spans="1:10" ht="13.2" x14ac:dyDescent="0.25">
      <c r="A617" s="17"/>
      <c r="B617" s="17"/>
      <c r="D617" s="18"/>
      <c r="E617" s="18"/>
      <c r="F617" s="18"/>
      <c r="G617" s="18"/>
      <c r="H617" s="58"/>
      <c r="I617" s="21"/>
      <c r="J617" s="22"/>
    </row>
    <row r="618" spans="1:10" ht="13.2" x14ac:dyDescent="0.25">
      <c r="A618" s="17"/>
      <c r="B618" s="17"/>
      <c r="D618" s="18"/>
      <c r="E618" s="18"/>
      <c r="F618" s="18"/>
      <c r="G618" s="18"/>
      <c r="H618" s="58"/>
      <c r="I618" s="21"/>
      <c r="J618" s="22"/>
    </row>
    <row r="619" spans="1:10" ht="13.2" x14ac:dyDescent="0.25">
      <c r="A619" s="17"/>
      <c r="B619" s="17"/>
      <c r="D619" s="18"/>
      <c r="E619" s="18"/>
      <c r="F619" s="18"/>
      <c r="G619" s="18"/>
      <c r="H619" s="58"/>
      <c r="I619" s="21"/>
      <c r="J619" s="22"/>
    </row>
    <row r="620" spans="1:10" ht="13.2" x14ac:dyDescent="0.25">
      <c r="A620" s="17"/>
      <c r="B620" s="17"/>
      <c r="D620" s="18"/>
      <c r="E620" s="18"/>
      <c r="F620" s="18"/>
      <c r="G620" s="18"/>
      <c r="H620" s="58"/>
      <c r="I620" s="21"/>
      <c r="J620" s="22"/>
    </row>
    <row r="621" spans="1:10" ht="13.2" x14ac:dyDescent="0.25">
      <c r="A621" s="17"/>
      <c r="B621" s="17"/>
      <c r="D621" s="18"/>
      <c r="E621" s="18"/>
      <c r="F621" s="18"/>
      <c r="G621" s="18"/>
      <c r="H621" s="58"/>
      <c r="I621" s="21"/>
      <c r="J621" s="22"/>
    </row>
    <row r="622" spans="1:10" ht="13.2" x14ac:dyDescent="0.25">
      <c r="A622" s="17"/>
      <c r="B622" s="17"/>
      <c r="D622" s="18"/>
      <c r="E622" s="18"/>
      <c r="F622" s="18"/>
      <c r="G622" s="18"/>
      <c r="H622" s="58"/>
      <c r="I622" s="21"/>
      <c r="J622" s="22"/>
    </row>
    <row r="623" spans="1:10" ht="13.2" x14ac:dyDescent="0.25">
      <c r="A623" s="17"/>
      <c r="B623" s="17"/>
      <c r="D623" s="18"/>
      <c r="E623" s="18"/>
      <c r="F623" s="18"/>
      <c r="G623" s="18"/>
      <c r="H623" s="58"/>
      <c r="I623" s="21"/>
      <c r="J623" s="22"/>
    </row>
    <row r="624" spans="1:10" ht="13.2" x14ac:dyDescent="0.25">
      <c r="A624" s="17"/>
      <c r="B624" s="17"/>
      <c r="D624" s="18"/>
      <c r="E624" s="18"/>
      <c r="F624" s="18"/>
      <c r="G624" s="18"/>
      <c r="H624" s="58"/>
      <c r="I624" s="21"/>
      <c r="J624" s="22"/>
    </row>
    <row r="625" spans="1:10" ht="13.2" x14ac:dyDescent="0.25">
      <c r="A625" s="17"/>
      <c r="B625" s="17"/>
      <c r="D625" s="18"/>
      <c r="E625" s="18"/>
      <c r="F625" s="18"/>
      <c r="G625" s="18"/>
      <c r="H625" s="58"/>
      <c r="I625" s="21"/>
      <c r="J625" s="22"/>
    </row>
    <row r="626" spans="1:10" ht="13.2" x14ac:dyDescent="0.25">
      <c r="A626" s="17"/>
      <c r="B626" s="17"/>
      <c r="D626" s="18"/>
      <c r="E626" s="18"/>
      <c r="F626" s="18"/>
      <c r="G626" s="18"/>
      <c r="H626" s="58"/>
      <c r="I626" s="21"/>
      <c r="J626" s="22"/>
    </row>
    <row r="627" spans="1:10" ht="13.2" x14ac:dyDescent="0.25">
      <c r="A627" s="17"/>
      <c r="B627" s="17"/>
      <c r="D627" s="18"/>
      <c r="E627" s="18"/>
      <c r="F627" s="18"/>
      <c r="G627" s="18"/>
      <c r="H627" s="58"/>
      <c r="I627" s="21"/>
      <c r="J627" s="22"/>
    </row>
    <row r="628" spans="1:10" ht="13.2" x14ac:dyDescent="0.25">
      <c r="A628" s="17"/>
      <c r="B628" s="17"/>
      <c r="D628" s="18"/>
      <c r="E628" s="18"/>
      <c r="F628" s="18"/>
      <c r="G628" s="18"/>
      <c r="H628" s="58"/>
      <c r="I628" s="21"/>
      <c r="J628" s="22"/>
    </row>
    <row r="629" spans="1:10" ht="13.2" x14ac:dyDescent="0.25">
      <c r="A629" s="17"/>
      <c r="B629" s="17"/>
      <c r="D629" s="18"/>
      <c r="E629" s="18"/>
      <c r="F629" s="18"/>
      <c r="G629" s="18"/>
      <c r="H629" s="58"/>
      <c r="I629" s="21"/>
      <c r="J629" s="22"/>
    </row>
    <row r="630" spans="1:10" ht="13.2" x14ac:dyDescent="0.25">
      <c r="A630" s="17"/>
      <c r="B630" s="17"/>
      <c r="D630" s="18"/>
      <c r="E630" s="18"/>
      <c r="F630" s="18"/>
      <c r="G630" s="18"/>
      <c r="H630" s="58"/>
      <c r="I630" s="21"/>
      <c r="J630" s="22"/>
    </row>
    <row r="631" spans="1:10" ht="13.2" x14ac:dyDescent="0.25">
      <c r="A631" s="17"/>
      <c r="B631" s="17"/>
      <c r="D631" s="18"/>
      <c r="E631" s="18"/>
      <c r="F631" s="18"/>
      <c r="G631" s="18"/>
      <c r="H631" s="58"/>
      <c r="I631" s="21"/>
      <c r="J631" s="22"/>
    </row>
    <row r="632" spans="1:10" ht="13.2" x14ac:dyDescent="0.25">
      <c r="A632" s="17"/>
      <c r="B632" s="17"/>
      <c r="D632" s="18"/>
      <c r="E632" s="18"/>
      <c r="F632" s="18"/>
      <c r="G632" s="18"/>
      <c r="H632" s="58"/>
      <c r="I632" s="21"/>
      <c r="J632" s="22"/>
    </row>
    <row r="633" spans="1:10" ht="13.2" x14ac:dyDescent="0.25">
      <c r="A633" s="17"/>
      <c r="B633" s="17"/>
      <c r="D633" s="18"/>
      <c r="E633" s="18"/>
      <c r="F633" s="18"/>
      <c r="G633" s="18"/>
      <c r="H633" s="58"/>
      <c r="I633" s="21"/>
      <c r="J633" s="22"/>
    </row>
    <row r="634" spans="1:10" ht="13.2" x14ac:dyDescent="0.25">
      <c r="A634" s="17"/>
      <c r="B634" s="17"/>
      <c r="D634" s="18"/>
      <c r="E634" s="18"/>
      <c r="F634" s="18"/>
      <c r="G634" s="18"/>
      <c r="H634" s="58"/>
      <c r="I634" s="21"/>
      <c r="J634" s="22"/>
    </row>
    <row r="635" spans="1:10" ht="13.2" x14ac:dyDescent="0.25">
      <c r="A635" s="17"/>
      <c r="B635" s="17"/>
      <c r="D635" s="18"/>
      <c r="E635" s="18"/>
      <c r="F635" s="18"/>
      <c r="G635" s="18"/>
      <c r="H635" s="58"/>
      <c r="I635" s="21"/>
      <c r="J635" s="22"/>
    </row>
    <row r="636" spans="1:10" ht="13.2" x14ac:dyDescent="0.25">
      <c r="A636" s="17"/>
      <c r="B636" s="17"/>
      <c r="D636" s="18"/>
      <c r="E636" s="18"/>
      <c r="F636" s="18"/>
      <c r="G636" s="18"/>
      <c r="H636" s="58"/>
      <c r="I636" s="21"/>
      <c r="J636" s="22"/>
    </row>
    <row r="637" spans="1:10" ht="13.2" x14ac:dyDescent="0.25">
      <c r="A637" s="17"/>
      <c r="B637" s="17"/>
      <c r="D637" s="18"/>
      <c r="E637" s="18"/>
      <c r="F637" s="18"/>
      <c r="G637" s="18"/>
      <c r="H637" s="58"/>
      <c r="I637" s="21"/>
      <c r="J637" s="22"/>
    </row>
    <row r="638" spans="1:10" ht="13.2" x14ac:dyDescent="0.25">
      <c r="A638" s="17"/>
      <c r="B638" s="17"/>
      <c r="D638" s="18"/>
      <c r="E638" s="18"/>
      <c r="F638" s="18"/>
      <c r="G638" s="18"/>
      <c r="H638" s="58"/>
      <c r="I638" s="21"/>
      <c r="J638" s="22"/>
    </row>
    <row r="639" spans="1:10" ht="13.2" x14ac:dyDescent="0.25">
      <c r="A639" s="17"/>
      <c r="B639" s="17"/>
      <c r="D639" s="18"/>
      <c r="E639" s="18"/>
      <c r="F639" s="18"/>
      <c r="G639" s="18"/>
      <c r="H639" s="58"/>
      <c r="I639" s="21"/>
      <c r="J639" s="22"/>
    </row>
    <row r="640" spans="1:10" ht="13.2" x14ac:dyDescent="0.25">
      <c r="A640" s="17"/>
      <c r="B640" s="17"/>
      <c r="D640" s="18"/>
      <c r="E640" s="18"/>
      <c r="F640" s="18"/>
      <c r="G640" s="18"/>
      <c r="H640" s="58"/>
      <c r="I640" s="21"/>
      <c r="J640" s="22"/>
    </row>
    <row r="641" spans="1:10" ht="13.2" x14ac:dyDescent="0.25">
      <c r="A641" s="17"/>
      <c r="B641" s="17"/>
      <c r="D641" s="18"/>
      <c r="E641" s="18"/>
      <c r="F641" s="18"/>
      <c r="G641" s="18"/>
      <c r="H641" s="58"/>
      <c r="I641" s="21"/>
      <c r="J641" s="22"/>
    </row>
    <row r="642" spans="1:10" ht="13.2" x14ac:dyDescent="0.25">
      <c r="A642" s="17"/>
      <c r="B642" s="17"/>
      <c r="D642" s="18"/>
      <c r="E642" s="18"/>
      <c r="F642" s="18"/>
      <c r="G642" s="18"/>
      <c r="H642" s="58"/>
      <c r="I642" s="21"/>
      <c r="J642" s="22"/>
    </row>
    <row r="643" spans="1:10" ht="13.2" x14ac:dyDescent="0.25">
      <c r="A643" s="17"/>
      <c r="B643" s="17"/>
      <c r="D643" s="18"/>
      <c r="E643" s="18"/>
      <c r="F643" s="18"/>
      <c r="G643" s="18"/>
      <c r="H643" s="58"/>
      <c r="I643" s="21"/>
      <c r="J643" s="22"/>
    </row>
    <row r="644" spans="1:10" ht="13.2" x14ac:dyDescent="0.25">
      <c r="A644" s="17"/>
      <c r="B644" s="17"/>
      <c r="D644" s="18"/>
      <c r="E644" s="18"/>
      <c r="F644" s="18"/>
      <c r="G644" s="18"/>
      <c r="H644" s="58"/>
      <c r="I644" s="21"/>
      <c r="J644" s="22"/>
    </row>
    <row r="645" spans="1:10" ht="13.2" x14ac:dyDescent="0.25">
      <c r="A645" s="17"/>
      <c r="B645" s="17"/>
      <c r="D645" s="18"/>
      <c r="E645" s="18"/>
      <c r="F645" s="18"/>
      <c r="G645" s="18"/>
      <c r="H645" s="58"/>
      <c r="I645" s="21"/>
      <c r="J645" s="22"/>
    </row>
    <row r="646" spans="1:10" ht="13.2" x14ac:dyDescent="0.25">
      <c r="A646" s="17"/>
      <c r="B646" s="17"/>
      <c r="D646" s="18"/>
      <c r="E646" s="18"/>
      <c r="F646" s="18"/>
      <c r="G646" s="18"/>
      <c r="H646" s="58"/>
      <c r="I646" s="21"/>
      <c r="J646" s="22"/>
    </row>
    <row r="647" spans="1:10" ht="13.2" x14ac:dyDescent="0.25">
      <c r="A647" s="17"/>
      <c r="B647" s="17"/>
      <c r="D647" s="18"/>
      <c r="E647" s="18"/>
      <c r="F647" s="18"/>
      <c r="G647" s="18"/>
      <c r="H647" s="58"/>
      <c r="I647" s="21"/>
      <c r="J647" s="22"/>
    </row>
    <row r="648" spans="1:10" ht="13.2" x14ac:dyDescent="0.25">
      <c r="A648" s="17"/>
      <c r="B648" s="17"/>
      <c r="D648" s="18"/>
      <c r="E648" s="18"/>
      <c r="F648" s="18"/>
      <c r="G648" s="18"/>
      <c r="H648" s="58"/>
      <c r="I648" s="21"/>
      <c r="J648" s="22"/>
    </row>
    <row r="649" spans="1:10" ht="13.2" x14ac:dyDescent="0.25">
      <c r="A649" s="17"/>
      <c r="B649" s="17"/>
      <c r="D649" s="18"/>
      <c r="E649" s="18"/>
      <c r="F649" s="18"/>
      <c r="G649" s="18"/>
      <c r="H649" s="58"/>
      <c r="I649" s="21"/>
      <c r="J649" s="22"/>
    </row>
    <row r="650" spans="1:10" ht="13.2" x14ac:dyDescent="0.25">
      <c r="A650" s="17"/>
      <c r="B650" s="17"/>
      <c r="D650" s="18"/>
      <c r="E650" s="18"/>
      <c r="F650" s="18"/>
      <c r="G650" s="18"/>
      <c r="H650" s="58"/>
      <c r="I650" s="21"/>
      <c r="J650" s="22"/>
    </row>
    <row r="651" spans="1:10" ht="13.2" x14ac:dyDescent="0.25">
      <c r="A651" s="17"/>
      <c r="B651" s="17"/>
      <c r="D651" s="18"/>
      <c r="E651" s="18"/>
      <c r="F651" s="18"/>
      <c r="G651" s="18"/>
      <c r="H651" s="58"/>
      <c r="I651" s="21"/>
      <c r="J651" s="22"/>
    </row>
    <row r="652" spans="1:10" ht="13.2" x14ac:dyDescent="0.25">
      <c r="A652" s="17"/>
      <c r="B652" s="17"/>
      <c r="D652" s="18"/>
      <c r="E652" s="18"/>
      <c r="F652" s="18"/>
      <c r="G652" s="18"/>
      <c r="H652" s="58"/>
      <c r="I652" s="21"/>
      <c r="J652" s="22"/>
    </row>
    <row r="653" spans="1:10" ht="13.2" x14ac:dyDescent="0.25">
      <c r="A653" s="17"/>
      <c r="B653" s="17"/>
      <c r="D653" s="18"/>
      <c r="E653" s="18"/>
      <c r="F653" s="18"/>
      <c r="G653" s="18"/>
      <c r="H653" s="58"/>
      <c r="I653" s="21"/>
      <c r="J653" s="22"/>
    </row>
    <row r="654" spans="1:10" ht="13.2" x14ac:dyDescent="0.25">
      <c r="A654" s="17"/>
      <c r="B654" s="17"/>
      <c r="D654" s="18"/>
      <c r="E654" s="18"/>
      <c r="F654" s="18"/>
      <c r="G654" s="18"/>
      <c r="H654" s="58"/>
      <c r="I654" s="21"/>
      <c r="J654" s="22"/>
    </row>
    <row r="655" spans="1:10" ht="13.2" x14ac:dyDescent="0.25">
      <c r="A655" s="17"/>
      <c r="B655" s="17"/>
      <c r="D655" s="18"/>
      <c r="E655" s="18"/>
      <c r="F655" s="18"/>
      <c r="G655" s="18"/>
      <c r="H655" s="58"/>
      <c r="I655" s="21"/>
      <c r="J655" s="22"/>
    </row>
    <row r="656" spans="1:10" ht="13.2" x14ac:dyDescent="0.25">
      <c r="A656" s="17"/>
      <c r="B656" s="17"/>
      <c r="D656" s="18"/>
      <c r="E656" s="18"/>
      <c r="F656" s="18"/>
      <c r="G656" s="18"/>
      <c r="H656" s="58"/>
      <c r="I656" s="21"/>
      <c r="J656" s="22"/>
    </row>
    <row r="657" spans="1:10" ht="13.2" x14ac:dyDescent="0.25">
      <c r="A657" s="17"/>
      <c r="B657" s="17"/>
      <c r="D657" s="18"/>
      <c r="E657" s="18"/>
      <c r="F657" s="18"/>
      <c r="G657" s="18"/>
      <c r="H657" s="58"/>
      <c r="I657" s="21"/>
      <c r="J657" s="22"/>
    </row>
    <row r="658" spans="1:10" ht="13.2" x14ac:dyDescent="0.25">
      <c r="A658" s="17"/>
      <c r="B658" s="17"/>
      <c r="D658" s="18"/>
      <c r="E658" s="18"/>
      <c r="F658" s="18"/>
      <c r="G658" s="18"/>
      <c r="H658" s="58"/>
      <c r="I658" s="21"/>
      <c r="J658" s="22"/>
    </row>
    <row r="659" spans="1:10" ht="13.2" x14ac:dyDescent="0.25">
      <c r="A659" s="17"/>
      <c r="B659" s="17"/>
      <c r="D659" s="18"/>
      <c r="E659" s="18"/>
      <c r="F659" s="18"/>
      <c r="G659" s="18"/>
      <c r="H659" s="58"/>
      <c r="I659" s="21"/>
      <c r="J659" s="22"/>
    </row>
    <row r="660" spans="1:10" ht="13.2" x14ac:dyDescent="0.25">
      <c r="A660" s="17"/>
      <c r="B660" s="17"/>
      <c r="D660" s="18"/>
      <c r="E660" s="18"/>
      <c r="F660" s="18"/>
      <c r="G660" s="18"/>
      <c r="H660" s="58"/>
      <c r="I660" s="21"/>
      <c r="J660" s="22"/>
    </row>
    <row r="661" spans="1:10" ht="13.2" x14ac:dyDescent="0.25">
      <c r="A661" s="17"/>
      <c r="B661" s="17"/>
      <c r="D661" s="18"/>
      <c r="E661" s="18"/>
      <c r="F661" s="18"/>
      <c r="G661" s="18"/>
      <c r="H661" s="58"/>
      <c r="I661" s="21"/>
      <c r="J661" s="22"/>
    </row>
    <row r="662" spans="1:10" ht="13.2" x14ac:dyDescent="0.25">
      <c r="A662" s="17"/>
      <c r="B662" s="17"/>
      <c r="D662" s="18"/>
      <c r="E662" s="18"/>
      <c r="F662" s="18"/>
      <c r="G662" s="18"/>
      <c r="H662" s="58"/>
      <c r="I662" s="21"/>
      <c r="J662" s="22"/>
    </row>
    <row r="663" spans="1:10" ht="13.2" x14ac:dyDescent="0.25">
      <c r="A663" s="17"/>
      <c r="B663" s="17"/>
      <c r="D663" s="18"/>
      <c r="E663" s="18"/>
      <c r="F663" s="18"/>
      <c r="G663" s="18"/>
      <c r="H663" s="58"/>
      <c r="I663" s="21"/>
      <c r="J663" s="22"/>
    </row>
    <row r="664" spans="1:10" ht="13.2" x14ac:dyDescent="0.25">
      <c r="A664" s="17"/>
      <c r="B664" s="17"/>
      <c r="D664" s="18"/>
      <c r="E664" s="18"/>
      <c r="F664" s="18"/>
      <c r="G664" s="18"/>
      <c r="H664" s="58"/>
      <c r="I664" s="21"/>
      <c r="J664" s="22"/>
    </row>
    <row r="665" spans="1:10" ht="13.2" x14ac:dyDescent="0.25">
      <c r="A665" s="17"/>
      <c r="B665" s="17"/>
      <c r="D665" s="18"/>
      <c r="E665" s="18"/>
      <c r="F665" s="18"/>
      <c r="G665" s="18"/>
      <c r="H665" s="58"/>
      <c r="I665" s="21"/>
      <c r="J665" s="22"/>
    </row>
    <row r="666" spans="1:10" ht="13.2" x14ac:dyDescent="0.25">
      <c r="A666" s="17"/>
      <c r="B666" s="17"/>
      <c r="D666" s="18"/>
      <c r="E666" s="18"/>
      <c r="F666" s="18"/>
      <c r="G666" s="18"/>
      <c r="H666" s="58"/>
      <c r="I666" s="21"/>
      <c r="J666" s="22"/>
    </row>
    <row r="667" spans="1:10" ht="13.2" x14ac:dyDescent="0.25">
      <c r="A667" s="17"/>
      <c r="B667" s="17"/>
      <c r="D667" s="18"/>
      <c r="E667" s="18"/>
      <c r="F667" s="18"/>
      <c r="G667" s="18"/>
      <c r="H667" s="58"/>
      <c r="I667" s="21"/>
      <c r="J667" s="22"/>
    </row>
    <row r="668" spans="1:10" ht="13.2" x14ac:dyDescent="0.25">
      <c r="A668" s="17"/>
      <c r="B668" s="17"/>
      <c r="D668" s="18"/>
      <c r="E668" s="18"/>
      <c r="F668" s="18"/>
      <c r="G668" s="18"/>
      <c r="H668" s="58"/>
      <c r="I668" s="21"/>
      <c r="J668" s="22"/>
    </row>
    <row r="669" spans="1:10" ht="13.2" x14ac:dyDescent="0.25">
      <c r="A669" s="17"/>
      <c r="B669" s="17"/>
      <c r="D669" s="18"/>
      <c r="E669" s="18"/>
      <c r="F669" s="18"/>
      <c r="G669" s="18"/>
      <c r="H669" s="58"/>
      <c r="I669" s="21"/>
      <c r="J669" s="22"/>
    </row>
    <row r="670" spans="1:10" ht="13.2" x14ac:dyDescent="0.25">
      <c r="A670" s="17"/>
      <c r="B670" s="17"/>
      <c r="D670" s="18"/>
      <c r="E670" s="18"/>
      <c r="F670" s="18"/>
      <c r="G670" s="18"/>
      <c r="H670" s="58"/>
      <c r="I670" s="21"/>
      <c r="J670" s="22"/>
    </row>
    <row r="671" spans="1:10" ht="13.2" x14ac:dyDescent="0.25">
      <c r="A671" s="17"/>
      <c r="B671" s="17"/>
      <c r="D671" s="18"/>
      <c r="E671" s="18"/>
      <c r="F671" s="18"/>
      <c r="G671" s="18"/>
      <c r="H671" s="58"/>
      <c r="I671" s="21"/>
      <c r="J671" s="22"/>
    </row>
    <row r="672" spans="1:10" ht="13.2" x14ac:dyDescent="0.25">
      <c r="A672" s="17"/>
      <c r="B672" s="17"/>
      <c r="D672" s="18"/>
      <c r="E672" s="18"/>
      <c r="F672" s="18"/>
      <c r="G672" s="18"/>
      <c r="H672" s="58"/>
      <c r="I672" s="21"/>
      <c r="J672" s="22"/>
    </row>
    <row r="673" spans="1:10" ht="13.2" x14ac:dyDescent="0.25">
      <c r="A673" s="17"/>
      <c r="B673" s="17"/>
      <c r="D673" s="18"/>
      <c r="E673" s="18"/>
      <c r="F673" s="18"/>
      <c r="G673" s="18"/>
      <c r="H673" s="58"/>
      <c r="I673" s="21"/>
      <c r="J673" s="22"/>
    </row>
    <row r="674" spans="1:10" ht="13.2" x14ac:dyDescent="0.25">
      <c r="A674" s="17"/>
      <c r="B674" s="17"/>
      <c r="D674" s="18"/>
      <c r="E674" s="18"/>
      <c r="F674" s="18"/>
      <c r="G674" s="18"/>
      <c r="H674" s="58"/>
      <c r="I674" s="21"/>
      <c r="J674" s="22"/>
    </row>
    <row r="675" spans="1:10" ht="13.2" x14ac:dyDescent="0.25">
      <c r="A675" s="17"/>
      <c r="B675" s="17"/>
      <c r="D675" s="18"/>
      <c r="E675" s="18"/>
      <c r="F675" s="18"/>
      <c r="G675" s="18"/>
      <c r="H675" s="58"/>
      <c r="I675" s="21"/>
      <c r="J675" s="22"/>
    </row>
    <row r="676" spans="1:10" ht="13.2" x14ac:dyDescent="0.25">
      <c r="A676" s="17"/>
      <c r="B676" s="17"/>
      <c r="D676" s="18"/>
      <c r="E676" s="18"/>
      <c r="F676" s="18"/>
      <c r="G676" s="18"/>
      <c r="H676" s="58"/>
      <c r="I676" s="21"/>
      <c r="J676" s="22"/>
    </row>
    <row r="677" spans="1:10" ht="13.2" x14ac:dyDescent="0.25">
      <c r="A677" s="17"/>
      <c r="B677" s="17"/>
      <c r="D677" s="18"/>
      <c r="E677" s="18"/>
      <c r="F677" s="18"/>
      <c r="G677" s="18"/>
      <c r="H677" s="58"/>
      <c r="I677" s="21"/>
      <c r="J677" s="22"/>
    </row>
    <row r="678" spans="1:10" ht="13.2" x14ac:dyDescent="0.25">
      <c r="A678" s="17"/>
      <c r="B678" s="17"/>
      <c r="D678" s="18"/>
      <c r="E678" s="18"/>
      <c r="F678" s="18"/>
      <c r="G678" s="18"/>
      <c r="H678" s="58"/>
      <c r="I678" s="21"/>
      <c r="J678" s="22"/>
    </row>
    <row r="679" spans="1:10" ht="13.2" x14ac:dyDescent="0.25">
      <c r="A679" s="17"/>
      <c r="B679" s="17"/>
      <c r="D679" s="18"/>
      <c r="E679" s="18"/>
      <c r="F679" s="18"/>
      <c r="G679" s="18"/>
      <c r="H679" s="58"/>
      <c r="I679" s="21"/>
      <c r="J679" s="22"/>
    </row>
    <row r="680" spans="1:10" ht="13.2" x14ac:dyDescent="0.25">
      <c r="A680" s="17"/>
      <c r="B680" s="17"/>
      <c r="D680" s="18"/>
      <c r="E680" s="18"/>
      <c r="F680" s="18"/>
      <c r="G680" s="18"/>
      <c r="H680" s="58"/>
      <c r="I680" s="21"/>
      <c r="J680" s="22"/>
    </row>
    <row r="681" spans="1:10" ht="13.2" x14ac:dyDescent="0.25">
      <c r="A681" s="17"/>
      <c r="B681" s="17"/>
      <c r="D681" s="18"/>
      <c r="E681" s="18"/>
      <c r="F681" s="18"/>
      <c r="G681" s="18"/>
      <c r="H681" s="58"/>
      <c r="I681" s="21"/>
      <c r="J681" s="22"/>
    </row>
    <row r="682" spans="1:10" ht="13.2" x14ac:dyDescent="0.25">
      <c r="A682" s="17"/>
      <c r="B682" s="17"/>
      <c r="D682" s="18"/>
      <c r="E682" s="18"/>
      <c r="F682" s="18"/>
      <c r="G682" s="18"/>
      <c r="H682" s="58"/>
      <c r="I682" s="21"/>
      <c r="J682" s="22"/>
    </row>
    <row r="683" spans="1:10" ht="13.2" x14ac:dyDescent="0.25">
      <c r="A683" s="17"/>
      <c r="B683" s="17"/>
      <c r="D683" s="18"/>
      <c r="E683" s="18"/>
      <c r="F683" s="18"/>
      <c r="G683" s="18"/>
      <c r="H683" s="58"/>
      <c r="I683" s="21"/>
      <c r="J683" s="22"/>
    </row>
    <row r="684" spans="1:10" ht="13.2" x14ac:dyDescent="0.25">
      <c r="A684" s="17"/>
      <c r="B684" s="17"/>
      <c r="D684" s="18"/>
      <c r="E684" s="18"/>
      <c r="F684" s="18"/>
      <c r="G684" s="18"/>
      <c r="H684" s="58"/>
      <c r="I684" s="21"/>
      <c r="J684" s="22"/>
    </row>
    <row r="685" spans="1:10" ht="13.2" x14ac:dyDescent="0.25">
      <c r="A685" s="17"/>
      <c r="B685" s="17"/>
      <c r="D685" s="18"/>
      <c r="E685" s="18"/>
      <c r="F685" s="18"/>
      <c r="G685" s="18"/>
      <c r="H685" s="58"/>
      <c r="I685" s="21"/>
      <c r="J685" s="22"/>
    </row>
    <row r="686" spans="1:10" ht="13.2" x14ac:dyDescent="0.25">
      <c r="A686" s="17"/>
      <c r="B686" s="17"/>
      <c r="D686" s="18"/>
      <c r="E686" s="18"/>
      <c r="F686" s="18"/>
      <c r="G686" s="18"/>
      <c r="H686" s="58"/>
      <c r="I686" s="21"/>
      <c r="J686" s="22"/>
    </row>
    <row r="687" spans="1:10" ht="13.2" x14ac:dyDescent="0.25">
      <c r="A687" s="17"/>
      <c r="B687" s="17"/>
      <c r="D687" s="18"/>
      <c r="E687" s="18"/>
      <c r="F687" s="18"/>
      <c r="G687" s="18"/>
      <c r="H687" s="58"/>
      <c r="I687" s="21"/>
      <c r="J687" s="22"/>
    </row>
    <row r="688" spans="1:10" ht="13.2" x14ac:dyDescent="0.25">
      <c r="A688" s="17"/>
      <c r="B688" s="17"/>
      <c r="D688" s="18"/>
      <c r="E688" s="18"/>
      <c r="F688" s="18"/>
      <c r="G688" s="18"/>
      <c r="H688" s="58"/>
      <c r="I688" s="21"/>
      <c r="J688" s="22"/>
    </row>
    <row r="689" spans="1:10" ht="13.2" x14ac:dyDescent="0.25">
      <c r="A689" s="17"/>
      <c r="B689" s="17"/>
      <c r="D689" s="18"/>
      <c r="E689" s="18"/>
      <c r="F689" s="18"/>
      <c r="G689" s="18"/>
      <c r="H689" s="58"/>
      <c r="I689" s="21"/>
      <c r="J689" s="22"/>
    </row>
    <row r="690" spans="1:10" ht="13.2" x14ac:dyDescent="0.25">
      <c r="A690" s="17"/>
      <c r="B690" s="17"/>
      <c r="D690" s="18"/>
      <c r="E690" s="18"/>
      <c r="F690" s="18"/>
      <c r="G690" s="18"/>
      <c r="H690" s="58"/>
      <c r="I690" s="21"/>
      <c r="J690" s="22"/>
    </row>
    <row r="691" spans="1:10" ht="13.2" x14ac:dyDescent="0.25">
      <c r="A691" s="17"/>
      <c r="B691" s="17"/>
      <c r="D691" s="18"/>
      <c r="E691" s="18"/>
      <c r="F691" s="18"/>
      <c r="G691" s="18"/>
      <c r="H691" s="58"/>
      <c r="I691" s="21"/>
      <c r="J691" s="22"/>
    </row>
    <row r="692" spans="1:10" ht="13.2" x14ac:dyDescent="0.25">
      <c r="A692" s="17"/>
      <c r="B692" s="17"/>
      <c r="D692" s="18"/>
      <c r="E692" s="18"/>
      <c r="F692" s="18"/>
      <c r="G692" s="18"/>
      <c r="H692" s="58"/>
      <c r="I692" s="21"/>
      <c r="J692" s="22"/>
    </row>
    <row r="693" spans="1:10" ht="13.2" x14ac:dyDescent="0.25">
      <c r="A693" s="17"/>
      <c r="B693" s="17"/>
      <c r="D693" s="18"/>
      <c r="E693" s="18"/>
      <c r="F693" s="18"/>
      <c r="G693" s="18"/>
      <c r="H693" s="58"/>
      <c r="I693" s="21"/>
      <c r="J693" s="22"/>
    </row>
    <row r="694" spans="1:10" ht="13.2" x14ac:dyDescent="0.25">
      <c r="A694" s="17"/>
      <c r="B694" s="17"/>
      <c r="D694" s="18"/>
      <c r="E694" s="18"/>
      <c r="F694" s="18"/>
      <c r="G694" s="18"/>
      <c r="H694" s="58"/>
      <c r="I694" s="21"/>
      <c r="J694" s="22"/>
    </row>
    <row r="695" spans="1:10" ht="13.2" x14ac:dyDescent="0.25">
      <c r="A695" s="17"/>
      <c r="B695" s="17"/>
      <c r="D695" s="18"/>
      <c r="E695" s="18"/>
      <c r="F695" s="18"/>
      <c r="G695" s="18"/>
      <c r="H695" s="58"/>
      <c r="I695" s="21"/>
      <c r="J695" s="22"/>
    </row>
    <row r="696" spans="1:10" ht="13.2" x14ac:dyDescent="0.25">
      <c r="A696" s="17"/>
      <c r="B696" s="17"/>
      <c r="D696" s="18"/>
      <c r="E696" s="18"/>
      <c r="F696" s="18"/>
      <c r="G696" s="18"/>
      <c r="H696" s="58"/>
      <c r="I696" s="21"/>
      <c r="J696" s="22"/>
    </row>
    <row r="697" spans="1:10" ht="13.2" x14ac:dyDescent="0.25">
      <c r="A697" s="17"/>
      <c r="B697" s="17"/>
      <c r="D697" s="18"/>
      <c r="E697" s="18"/>
      <c r="F697" s="18"/>
      <c r="G697" s="18"/>
      <c r="H697" s="58"/>
      <c r="I697" s="21"/>
      <c r="J697" s="22"/>
    </row>
    <row r="698" spans="1:10" ht="13.2" x14ac:dyDescent="0.25">
      <c r="A698" s="17"/>
      <c r="B698" s="17"/>
      <c r="D698" s="18"/>
      <c r="E698" s="18"/>
      <c r="F698" s="18"/>
      <c r="G698" s="18"/>
      <c r="H698" s="58"/>
      <c r="I698" s="21"/>
      <c r="J698" s="22"/>
    </row>
    <row r="699" spans="1:10" ht="13.2" x14ac:dyDescent="0.25">
      <c r="A699" s="17"/>
      <c r="B699" s="17"/>
      <c r="D699" s="18"/>
      <c r="E699" s="18"/>
      <c r="F699" s="18"/>
      <c r="G699" s="18"/>
      <c r="H699" s="58"/>
      <c r="I699" s="21"/>
      <c r="J699" s="22"/>
    </row>
    <row r="700" spans="1:10" ht="13.2" x14ac:dyDescent="0.25">
      <c r="A700" s="17"/>
      <c r="B700" s="17"/>
      <c r="D700" s="18"/>
      <c r="E700" s="18"/>
      <c r="F700" s="18"/>
      <c r="G700" s="18"/>
      <c r="H700" s="58"/>
      <c r="I700" s="21"/>
      <c r="J700" s="22"/>
    </row>
    <row r="701" spans="1:10" ht="13.2" x14ac:dyDescent="0.25">
      <c r="A701" s="17"/>
      <c r="B701" s="17"/>
      <c r="D701" s="18"/>
      <c r="E701" s="18"/>
      <c r="F701" s="18"/>
      <c r="G701" s="18"/>
      <c r="H701" s="58"/>
      <c r="I701" s="21"/>
      <c r="J701" s="22"/>
    </row>
    <row r="702" spans="1:10" ht="13.2" x14ac:dyDescent="0.25">
      <c r="A702" s="17"/>
      <c r="B702" s="17"/>
      <c r="D702" s="18"/>
      <c r="E702" s="18"/>
      <c r="F702" s="18"/>
      <c r="G702" s="18"/>
      <c r="H702" s="58"/>
      <c r="I702" s="21"/>
      <c r="J702" s="22"/>
    </row>
    <row r="703" spans="1:10" ht="13.2" x14ac:dyDescent="0.25">
      <c r="A703" s="17"/>
      <c r="B703" s="17"/>
      <c r="D703" s="18"/>
      <c r="E703" s="18"/>
      <c r="F703" s="18"/>
      <c r="G703" s="18"/>
      <c r="H703" s="58"/>
      <c r="I703" s="21"/>
      <c r="J703" s="22"/>
    </row>
    <row r="704" spans="1:10" ht="13.2" x14ac:dyDescent="0.25">
      <c r="A704" s="17"/>
      <c r="B704" s="17"/>
      <c r="D704" s="18"/>
      <c r="E704" s="18"/>
      <c r="F704" s="18"/>
      <c r="G704" s="18"/>
      <c r="H704" s="58"/>
      <c r="I704" s="21"/>
      <c r="J704" s="22"/>
    </row>
    <row r="705" spans="1:10" ht="13.2" x14ac:dyDescent="0.25">
      <c r="A705" s="17"/>
      <c r="B705" s="17"/>
      <c r="D705" s="18"/>
      <c r="E705" s="18"/>
      <c r="F705" s="18"/>
      <c r="G705" s="18"/>
      <c r="H705" s="58"/>
      <c r="I705" s="21"/>
      <c r="J705" s="22"/>
    </row>
    <row r="706" spans="1:10" ht="13.2" x14ac:dyDescent="0.25">
      <c r="A706" s="17"/>
      <c r="B706" s="17"/>
      <c r="D706" s="18"/>
      <c r="E706" s="18"/>
      <c r="F706" s="18"/>
      <c r="G706" s="18"/>
      <c r="H706" s="58"/>
      <c r="I706" s="21"/>
      <c r="J706" s="22"/>
    </row>
    <row r="707" spans="1:10" ht="13.2" x14ac:dyDescent="0.25">
      <c r="A707" s="17"/>
      <c r="B707" s="17"/>
      <c r="D707" s="18"/>
      <c r="E707" s="18"/>
      <c r="F707" s="18"/>
      <c r="G707" s="18"/>
      <c r="H707" s="58"/>
      <c r="I707" s="21"/>
      <c r="J707" s="22"/>
    </row>
    <row r="708" spans="1:10" ht="13.2" x14ac:dyDescent="0.25">
      <c r="A708" s="17"/>
      <c r="B708" s="17"/>
      <c r="D708" s="18"/>
      <c r="E708" s="18"/>
      <c r="F708" s="18"/>
      <c r="G708" s="18"/>
      <c r="H708" s="58"/>
      <c r="I708" s="21"/>
      <c r="J708" s="22"/>
    </row>
    <row r="709" spans="1:10" ht="13.2" x14ac:dyDescent="0.25">
      <c r="A709" s="17"/>
      <c r="B709" s="17"/>
      <c r="D709" s="18"/>
      <c r="E709" s="18"/>
      <c r="F709" s="18"/>
      <c r="G709" s="18"/>
      <c r="H709" s="58"/>
      <c r="I709" s="21"/>
      <c r="J709" s="22"/>
    </row>
    <row r="710" spans="1:10" ht="13.2" x14ac:dyDescent="0.25">
      <c r="A710" s="17"/>
      <c r="B710" s="17"/>
      <c r="D710" s="18"/>
      <c r="E710" s="18"/>
      <c r="F710" s="18"/>
      <c r="G710" s="18"/>
      <c r="H710" s="58"/>
      <c r="I710" s="21"/>
      <c r="J710" s="22"/>
    </row>
    <row r="711" spans="1:10" ht="13.2" x14ac:dyDescent="0.25">
      <c r="A711" s="17"/>
      <c r="B711" s="17"/>
      <c r="D711" s="18"/>
      <c r="E711" s="18"/>
      <c r="F711" s="18"/>
      <c r="G711" s="18"/>
      <c r="H711" s="58"/>
      <c r="I711" s="21"/>
      <c r="J711" s="22"/>
    </row>
    <row r="712" spans="1:10" ht="13.2" x14ac:dyDescent="0.25">
      <c r="A712" s="17"/>
      <c r="B712" s="17"/>
      <c r="D712" s="18"/>
      <c r="E712" s="18"/>
      <c r="F712" s="18"/>
      <c r="G712" s="18"/>
      <c r="H712" s="58"/>
      <c r="I712" s="21"/>
      <c r="J712" s="22"/>
    </row>
    <row r="713" spans="1:10" ht="13.2" x14ac:dyDescent="0.25">
      <c r="A713" s="17"/>
      <c r="B713" s="17"/>
      <c r="D713" s="18"/>
      <c r="E713" s="18"/>
      <c r="F713" s="18"/>
      <c r="G713" s="18"/>
      <c r="H713" s="58"/>
      <c r="I713" s="21"/>
      <c r="J713" s="22"/>
    </row>
    <row r="714" spans="1:10" ht="13.2" x14ac:dyDescent="0.25">
      <c r="A714" s="17"/>
      <c r="B714" s="17"/>
      <c r="D714" s="18"/>
      <c r="E714" s="18"/>
      <c r="F714" s="18"/>
      <c r="G714" s="18"/>
      <c r="H714" s="58"/>
      <c r="I714" s="21"/>
      <c r="J714" s="22"/>
    </row>
    <row r="715" spans="1:10" ht="13.2" x14ac:dyDescent="0.25">
      <c r="A715" s="17"/>
      <c r="B715" s="17"/>
      <c r="D715" s="18"/>
      <c r="E715" s="18"/>
      <c r="F715" s="18"/>
      <c r="G715" s="18"/>
      <c r="H715" s="58"/>
      <c r="I715" s="21"/>
      <c r="J715" s="22"/>
    </row>
    <row r="716" spans="1:10" ht="13.2" x14ac:dyDescent="0.25">
      <c r="A716" s="17"/>
      <c r="B716" s="17"/>
      <c r="D716" s="18"/>
      <c r="E716" s="18"/>
      <c r="F716" s="18"/>
      <c r="G716" s="18"/>
      <c r="H716" s="58"/>
      <c r="I716" s="21"/>
      <c r="J716" s="22"/>
    </row>
    <row r="717" spans="1:10" ht="13.2" x14ac:dyDescent="0.25">
      <c r="A717" s="17"/>
      <c r="B717" s="17"/>
      <c r="D717" s="18"/>
      <c r="E717" s="18"/>
      <c r="F717" s="18"/>
      <c r="G717" s="18"/>
      <c r="H717" s="58"/>
      <c r="I717" s="21"/>
      <c r="J717" s="22"/>
    </row>
    <row r="718" spans="1:10" ht="13.2" x14ac:dyDescent="0.25">
      <c r="A718" s="17"/>
      <c r="B718" s="17"/>
      <c r="D718" s="18"/>
      <c r="E718" s="18"/>
      <c r="F718" s="18"/>
      <c r="G718" s="18"/>
      <c r="H718" s="58"/>
      <c r="I718" s="21"/>
      <c r="J718" s="22"/>
    </row>
    <row r="719" spans="1:10" ht="13.2" x14ac:dyDescent="0.25">
      <c r="A719" s="17"/>
      <c r="B719" s="17"/>
      <c r="D719" s="18"/>
      <c r="E719" s="18"/>
      <c r="F719" s="18"/>
      <c r="G719" s="18"/>
      <c r="H719" s="58"/>
      <c r="I719" s="21"/>
      <c r="J719" s="22"/>
    </row>
    <row r="720" spans="1:10" ht="13.2" x14ac:dyDescent="0.25">
      <c r="A720" s="17"/>
      <c r="B720" s="17"/>
      <c r="D720" s="18"/>
      <c r="E720" s="18"/>
      <c r="F720" s="18"/>
      <c r="G720" s="18"/>
      <c r="H720" s="58"/>
      <c r="I720" s="21"/>
      <c r="J720" s="22"/>
    </row>
    <row r="721" spans="1:10" ht="13.2" x14ac:dyDescent="0.25">
      <c r="A721" s="17"/>
      <c r="B721" s="17"/>
      <c r="D721" s="18"/>
      <c r="E721" s="18"/>
      <c r="F721" s="18"/>
      <c r="G721" s="18"/>
      <c r="H721" s="58"/>
      <c r="I721" s="21"/>
      <c r="J721" s="22"/>
    </row>
    <row r="722" spans="1:10" ht="13.2" x14ac:dyDescent="0.25">
      <c r="A722" s="17"/>
      <c r="B722" s="17"/>
      <c r="D722" s="18"/>
      <c r="E722" s="18"/>
      <c r="F722" s="18"/>
      <c r="G722" s="18"/>
      <c r="H722" s="58"/>
      <c r="I722" s="21"/>
      <c r="J722" s="22"/>
    </row>
    <row r="723" spans="1:10" ht="13.2" x14ac:dyDescent="0.25">
      <c r="A723" s="17"/>
      <c r="B723" s="17"/>
      <c r="D723" s="18"/>
      <c r="E723" s="18"/>
      <c r="F723" s="18"/>
      <c r="G723" s="18"/>
      <c r="H723" s="58"/>
      <c r="I723" s="21"/>
      <c r="J723" s="22"/>
    </row>
    <row r="724" spans="1:10" ht="13.2" x14ac:dyDescent="0.25">
      <c r="A724" s="17"/>
      <c r="B724" s="17"/>
      <c r="D724" s="18"/>
      <c r="E724" s="18"/>
      <c r="F724" s="18"/>
      <c r="G724" s="18"/>
      <c r="H724" s="58"/>
      <c r="I724" s="21"/>
      <c r="J724" s="22"/>
    </row>
    <row r="725" spans="1:10" ht="13.2" x14ac:dyDescent="0.25">
      <c r="A725" s="17"/>
      <c r="B725" s="17"/>
      <c r="D725" s="18"/>
      <c r="E725" s="18"/>
      <c r="F725" s="18"/>
      <c r="G725" s="18"/>
      <c r="H725" s="58"/>
      <c r="I725" s="21"/>
      <c r="J725" s="22"/>
    </row>
    <row r="726" spans="1:10" ht="13.2" x14ac:dyDescent="0.25">
      <c r="A726" s="17"/>
      <c r="B726" s="17"/>
      <c r="D726" s="18"/>
      <c r="E726" s="18"/>
      <c r="F726" s="18"/>
      <c r="G726" s="18"/>
      <c r="H726" s="58"/>
      <c r="I726" s="21"/>
      <c r="J726" s="22"/>
    </row>
    <row r="727" spans="1:10" ht="13.2" x14ac:dyDescent="0.25">
      <c r="A727" s="17"/>
      <c r="B727" s="17"/>
      <c r="D727" s="18"/>
      <c r="E727" s="18"/>
      <c r="F727" s="18"/>
      <c r="G727" s="18"/>
      <c r="H727" s="58"/>
      <c r="I727" s="21"/>
      <c r="J727" s="22"/>
    </row>
    <row r="728" spans="1:10" ht="13.2" x14ac:dyDescent="0.25">
      <c r="A728" s="17"/>
      <c r="B728" s="17"/>
      <c r="D728" s="18"/>
      <c r="E728" s="18"/>
      <c r="F728" s="18"/>
      <c r="G728" s="18"/>
      <c r="H728" s="58"/>
      <c r="I728" s="21"/>
      <c r="J728" s="22"/>
    </row>
    <row r="729" spans="1:10" ht="13.2" x14ac:dyDescent="0.25">
      <c r="A729" s="17"/>
      <c r="B729" s="17"/>
      <c r="D729" s="18"/>
      <c r="E729" s="18"/>
      <c r="F729" s="18"/>
      <c r="G729" s="18"/>
      <c r="H729" s="58"/>
      <c r="I729" s="21"/>
      <c r="J729" s="22"/>
    </row>
    <row r="730" spans="1:10" ht="13.2" x14ac:dyDescent="0.25">
      <c r="A730" s="17"/>
      <c r="B730" s="17"/>
      <c r="D730" s="18"/>
      <c r="E730" s="18"/>
      <c r="F730" s="18"/>
      <c r="G730" s="18"/>
      <c r="H730" s="58"/>
      <c r="I730" s="21"/>
      <c r="J730" s="22"/>
    </row>
    <row r="731" spans="1:10" ht="13.2" x14ac:dyDescent="0.25">
      <c r="A731" s="17"/>
      <c r="B731" s="17"/>
      <c r="D731" s="18"/>
      <c r="E731" s="18"/>
      <c r="F731" s="18"/>
      <c r="G731" s="18"/>
      <c r="H731" s="58"/>
      <c r="I731" s="21"/>
      <c r="J731" s="22"/>
    </row>
    <row r="732" spans="1:10" ht="13.2" x14ac:dyDescent="0.25">
      <c r="A732" s="17"/>
      <c r="B732" s="17"/>
      <c r="D732" s="18"/>
      <c r="E732" s="18"/>
      <c r="F732" s="18"/>
      <c r="G732" s="18"/>
      <c r="H732" s="58"/>
      <c r="I732" s="21"/>
      <c r="J732" s="22"/>
    </row>
    <row r="733" spans="1:10" ht="13.2" x14ac:dyDescent="0.25">
      <c r="A733" s="17"/>
      <c r="B733" s="17"/>
      <c r="D733" s="18"/>
      <c r="E733" s="18"/>
      <c r="F733" s="18"/>
      <c r="G733" s="18"/>
      <c r="H733" s="58"/>
      <c r="I733" s="21"/>
      <c r="J733" s="22"/>
    </row>
    <row r="734" spans="1:10" ht="13.2" x14ac:dyDescent="0.25">
      <c r="A734" s="17"/>
      <c r="B734" s="17"/>
      <c r="D734" s="18"/>
      <c r="E734" s="18"/>
      <c r="F734" s="18"/>
      <c r="G734" s="18"/>
      <c r="H734" s="58"/>
      <c r="I734" s="21"/>
      <c r="J734" s="22"/>
    </row>
    <row r="735" spans="1:10" ht="13.2" x14ac:dyDescent="0.25">
      <c r="A735" s="17"/>
      <c r="B735" s="17"/>
      <c r="D735" s="18"/>
      <c r="E735" s="18"/>
      <c r="F735" s="18"/>
      <c r="G735" s="18"/>
      <c r="H735" s="58"/>
      <c r="I735" s="21"/>
      <c r="J735" s="22"/>
    </row>
    <row r="736" spans="1:10" ht="13.2" x14ac:dyDescent="0.25">
      <c r="A736" s="17"/>
      <c r="B736" s="17"/>
      <c r="D736" s="18"/>
      <c r="E736" s="18"/>
      <c r="F736" s="18"/>
      <c r="G736" s="18"/>
      <c r="H736" s="58"/>
      <c r="I736" s="21"/>
      <c r="J736" s="22"/>
    </row>
    <row r="737" spans="1:10" ht="13.2" x14ac:dyDescent="0.25">
      <c r="A737" s="17"/>
      <c r="B737" s="17"/>
      <c r="D737" s="18"/>
      <c r="E737" s="18"/>
      <c r="F737" s="18"/>
      <c r="G737" s="18"/>
      <c r="H737" s="58"/>
      <c r="I737" s="21"/>
      <c r="J737" s="22"/>
    </row>
    <row r="738" spans="1:10" ht="13.2" x14ac:dyDescent="0.25">
      <c r="A738" s="17"/>
      <c r="B738" s="17"/>
      <c r="D738" s="18"/>
      <c r="E738" s="18"/>
      <c r="F738" s="18"/>
      <c r="G738" s="18"/>
      <c r="H738" s="58"/>
      <c r="I738" s="21"/>
      <c r="J738" s="22"/>
    </row>
    <row r="739" spans="1:10" ht="13.2" x14ac:dyDescent="0.25">
      <c r="A739" s="17"/>
      <c r="B739" s="17"/>
      <c r="D739" s="18"/>
      <c r="E739" s="18"/>
      <c r="F739" s="18"/>
      <c r="G739" s="18"/>
      <c r="H739" s="58"/>
      <c r="I739" s="21"/>
      <c r="J739" s="22"/>
    </row>
    <row r="740" spans="1:10" ht="13.2" x14ac:dyDescent="0.25">
      <c r="A740" s="17"/>
      <c r="B740" s="17"/>
      <c r="D740" s="18"/>
      <c r="E740" s="18"/>
      <c r="F740" s="18"/>
      <c r="G740" s="18"/>
      <c r="H740" s="58"/>
      <c r="I740" s="21"/>
      <c r="J740" s="22"/>
    </row>
    <row r="741" spans="1:10" ht="13.2" x14ac:dyDescent="0.25">
      <c r="A741" s="17"/>
      <c r="B741" s="17"/>
      <c r="D741" s="18"/>
      <c r="E741" s="18"/>
      <c r="F741" s="18"/>
      <c r="G741" s="18"/>
      <c r="H741" s="58"/>
      <c r="I741" s="21"/>
      <c r="J741" s="22"/>
    </row>
    <row r="742" spans="1:10" ht="13.2" x14ac:dyDescent="0.25">
      <c r="A742" s="17"/>
      <c r="B742" s="17"/>
      <c r="D742" s="18"/>
      <c r="E742" s="18"/>
      <c r="F742" s="18"/>
      <c r="G742" s="18"/>
      <c r="H742" s="58"/>
      <c r="I742" s="21"/>
      <c r="J742" s="22"/>
    </row>
    <row r="743" spans="1:10" ht="13.2" x14ac:dyDescent="0.25">
      <c r="A743" s="17"/>
      <c r="B743" s="17"/>
      <c r="D743" s="18"/>
      <c r="E743" s="18"/>
      <c r="F743" s="18"/>
      <c r="G743" s="18"/>
      <c r="H743" s="58"/>
      <c r="I743" s="21"/>
      <c r="J743" s="22"/>
    </row>
    <row r="744" spans="1:10" ht="13.2" x14ac:dyDescent="0.25">
      <c r="A744" s="17"/>
      <c r="B744" s="17"/>
      <c r="D744" s="18"/>
      <c r="E744" s="18"/>
      <c r="F744" s="18"/>
      <c r="G744" s="18"/>
      <c r="H744" s="58"/>
      <c r="I744" s="21"/>
      <c r="J744" s="22"/>
    </row>
    <row r="745" spans="1:10" ht="13.2" x14ac:dyDescent="0.25">
      <c r="A745" s="17"/>
      <c r="B745" s="17"/>
      <c r="D745" s="18"/>
      <c r="E745" s="18"/>
      <c r="F745" s="18"/>
      <c r="G745" s="18"/>
      <c r="H745" s="58"/>
      <c r="I745" s="21"/>
      <c r="J745" s="22"/>
    </row>
    <row r="746" spans="1:10" ht="13.2" x14ac:dyDescent="0.25">
      <c r="A746" s="17"/>
      <c r="B746" s="17"/>
      <c r="D746" s="18"/>
      <c r="E746" s="18"/>
      <c r="F746" s="18"/>
      <c r="G746" s="18"/>
      <c r="H746" s="58"/>
      <c r="I746" s="21"/>
      <c r="J746" s="22"/>
    </row>
    <row r="747" spans="1:10" ht="13.2" x14ac:dyDescent="0.25">
      <c r="A747" s="17"/>
      <c r="B747" s="17"/>
      <c r="D747" s="18"/>
      <c r="E747" s="18"/>
      <c r="F747" s="18"/>
      <c r="G747" s="18"/>
      <c r="H747" s="58"/>
      <c r="I747" s="21"/>
      <c r="J747" s="22"/>
    </row>
    <row r="748" spans="1:10" ht="13.2" x14ac:dyDescent="0.25">
      <c r="A748" s="17"/>
      <c r="B748" s="17"/>
      <c r="D748" s="18"/>
      <c r="E748" s="18"/>
      <c r="F748" s="18"/>
      <c r="G748" s="18"/>
      <c r="H748" s="58"/>
      <c r="I748" s="21"/>
      <c r="J748" s="22"/>
    </row>
    <row r="749" spans="1:10" ht="13.2" x14ac:dyDescent="0.25">
      <c r="A749" s="17"/>
      <c r="B749" s="17"/>
      <c r="D749" s="18"/>
      <c r="E749" s="18"/>
      <c r="F749" s="18"/>
      <c r="G749" s="18"/>
      <c r="H749" s="58"/>
      <c r="I749" s="21"/>
      <c r="J749" s="22"/>
    </row>
    <row r="750" spans="1:10" ht="13.2" x14ac:dyDescent="0.25">
      <c r="A750" s="17"/>
      <c r="B750" s="17"/>
      <c r="D750" s="18"/>
      <c r="E750" s="18"/>
      <c r="F750" s="18"/>
      <c r="G750" s="18"/>
      <c r="H750" s="58"/>
      <c r="I750" s="21"/>
      <c r="J750" s="22"/>
    </row>
    <row r="751" spans="1:10" ht="13.2" x14ac:dyDescent="0.25">
      <c r="A751" s="17"/>
      <c r="B751" s="17"/>
      <c r="D751" s="18"/>
      <c r="E751" s="18"/>
      <c r="F751" s="18"/>
      <c r="G751" s="18"/>
      <c r="H751" s="58"/>
      <c r="I751" s="21"/>
      <c r="J751" s="22"/>
    </row>
    <row r="752" spans="1:10" ht="13.2" x14ac:dyDescent="0.25">
      <c r="A752" s="17"/>
      <c r="B752" s="17"/>
      <c r="D752" s="18"/>
      <c r="E752" s="18"/>
      <c r="F752" s="18"/>
      <c r="G752" s="18"/>
      <c r="H752" s="58"/>
      <c r="I752" s="21"/>
      <c r="J752" s="22"/>
    </row>
    <row r="753" spans="1:10" ht="13.2" x14ac:dyDescent="0.25">
      <c r="A753" s="17"/>
      <c r="B753" s="17"/>
      <c r="D753" s="18"/>
      <c r="E753" s="18"/>
      <c r="F753" s="18"/>
      <c r="G753" s="18"/>
      <c r="H753" s="58"/>
      <c r="I753" s="21"/>
      <c r="J753" s="22"/>
    </row>
    <row r="754" spans="1:10" ht="13.2" x14ac:dyDescent="0.25">
      <c r="A754" s="17"/>
      <c r="B754" s="17"/>
      <c r="D754" s="18"/>
      <c r="E754" s="18"/>
      <c r="F754" s="18"/>
      <c r="G754" s="18"/>
      <c r="H754" s="58"/>
      <c r="I754" s="21"/>
      <c r="J754" s="22"/>
    </row>
    <row r="755" spans="1:10" ht="13.2" x14ac:dyDescent="0.25">
      <c r="A755" s="17"/>
      <c r="B755" s="17"/>
      <c r="D755" s="18"/>
      <c r="E755" s="18"/>
      <c r="F755" s="18"/>
      <c r="G755" s="18"/>
      <c r="H755" s="58"/>
      <c r="I755" s="21"/>
      <c r="J755" s="22"/>
    </row>
    <row r="756" spans="1:10" ht="13.2" x14ac:dyDescent="0.25">
      <c r="A756" s="17"/>
      <c r="B756" s="17"/>
      <c r="D756" s="18"/>
      <c r="E756" s="18"/>
      <c r="F756" s="18"/>
      <c r="G756" s="18"/>
      <c r="H756" s="58"/>
      <c r="I756" s="21"/>
      <c r="J756" s="22"/>
    </row>
    <row r="757" spans="1:10" ht="13.2" x14ac:dyDescent="0.25">
      <c r="A757" s="17"/>
      <c r="B757" s="17"/>
      <c r="D757" s="18"/>
      <c r="E757" s="18"/>
      <c r="F757" s="18"/>
      <c r="G757" s="18"/>
      <c r="H757" s="58"/>
      <c r="I757" s="21"/>
      <c r="J757" s="22"/>
    </row>
    <row r="758" spans="1:10" ht="13.2" x14ac:dyDescent="0.25">
      <c r="A758" s="17"/>
      <c r="B758" s="17"/>
      <c r="D758" s="18"/>
      <c r="E758" s="18"/>
      <c r="F758" s="18"/>
      <c r="G758" s="18"/>
      <c r="H758" s="58"/>
      <c r="I758" s="21"/>
      <c r="J758" s="22"/>
    </row>
    <row r="759" spans="1:10" ht="13.2" x14ac:dyDescent="0.25">
      <c r="A759" s="17"/>
      <c r="B759" s="17"/>
      <c r="D759" s="18"/>
      <c r="E759" s="18"/>
      <c r="F759" s="18"/>
      <c r="G759" s="18"/>
      <c r="H759" s="58"/>
      <c r="I759" s="21"/>
      <c r="J759" s="22"/>
    </row>
    <row r="760" spans="1:10" ht="13.2" x14ac:dyDescent="0.25">
      <c r="A760" s="17"/>
      <c r="B760" s="17"/>
      <c r="D760" s="18"/>
      <c r="E760" s="18"/>
      <c r="F760" s="18"/>
      <c r="G760" s="18"/>
      <c r="H760" s="58"/>
      <c r="I760" s="21"/>
      <c r="J760" s="22"/>
    </row>
    <row r="761" spans="1:10" ht="13.2" x14ac:dyDescent="0.25">
      <c r="A761" s="17"/>
      <c r="B761" s="17"/>
      <c r="D761" s="18"/>
      <c r="E761" s="18"/>
      <c r="F761" s="18"/>
      <c r="G761" s="18"/>
      <c r="H761" s="58"/>
      <c r="I761" s="21"/>
      <c r="J761" s="22"/>
    </row>
    <row r="762" spans="1:10" ht="13.2" x14ac:dyDescent="0.25">
      <c r="A762" s="17"/>
      <c r="B762" s="17"/>
      <c r="D762" s="18"/>
      <c r="E762" s="18"/>
      <c r="F762" s="18"/>
      <c r="G762" s="18"/>
      <c r="H762" s="58"/>
      <c r="I762" s="21"/>
      <c r="J762" s="22"/>
    </row>
    <row r="763" spans="1:10" ht="13.2" x14ac:dyDescent="0.25">
      <c r="A763" s="17"/>
      <c r="B763" s="17"/>
      <c r="D763" s="18"/>
      <c r="E763" s="18"/>
      <c r="F763" s="18"/>
      <c r="G763" s="18"/>
      <c r="H763" s="58"/>
      <c r="I763" s="21"/>
      <c r="J763" s="22"/>
    </row>
    <row r="764" spans="1:10" ht="13.2" x14ac:dyDescent="0.25">
      <c r="A764" s="17"/>
      <c r="B764" s="17"/>
      <c r="D764" s="18"/>
      <c r="E764" s="18"/>
      <c r="F764" s="18"/>
      <c r="G764" s="18"/>
      <c r="H764" s="58"/>
      <c r="I764" s="21"/>
      <c r="J764" s="22"/>
    </row>
    <row r="765" spans="1:10" ht="13.2" x14ac:dyDescent="0.25">
      <c r="A765" s="17"/>
      <c r="B765" s="17"/>
      <c r="D765" s="18"/>
      <c r="E765" s="18"/>
      <c r="F765" s="18"/>
      <c r="G765" s="18"/>
      <c r="H765" s="58"/>
      <c r="I765" s="21"/>
      <c r="J765" s="22"/>
    </row>
    <row r="766" spans="1:10" ht="13.2" x14ac:dyDescent="0.25">
      <c r="A766" s="17"/>
      <c r="B766" s="17"/>
      <c r="D766" s="18"/>
      <c r="E766" s="18"/>
      <c r="F766" s="18"/>
      <c r="G766" s="18"/>
      <c r="H766" s="58"/>
      <c r="I766" s="21"/>
      <c r="J766" s="22"/>
    </row>
    <row r="767" spans="1:10" ht="13.2" x14ac:dyDescent="0.25">
      <c r="A767" s="17"/>
      <c r="B767" s="17"/>
      <c r="D767" s="18"/>
      <c r="E767" s="18"/>
      <c r="F767" s="18"/>
      <c r="G767" s="18"/>
      <c r="H767" s="58"/>
      <c r="I767" s="21"/>
      <c r="J767" s="22"/>
    </row>
    <row r="768" spans="1:10" ht="13.2" x14ac:dyDescent="0.25">
      <c r="A768" s="17"/>
      <c r="B768" s="17"/>
      <c r="D768" s="18"/>
      <c r="E768" s="18"/>
      <c r="F768" s="18"/>
      <c r="G768" s="18"/>
      <c r="H768" s="58"/>
      <c r="I768" s="21"/>
      <c r="J768" s="22"/>
    </row>
    <row r="769" spans="1:10" ht="13.2" x14ac:dyDescent="0.25">
      <c r="A769" s="17"/>
      <c r="B769" s="17"/>
      <c r="D769" s="18"/>
      <c r="E769" s="18"/>
      <c r="F769" s="18"/>
      <c r="G769" s="18"/>
      <c r="H769" s="58"/>
      <c r="I769" s="21"/>
      <c r="J769" s="22"/>
    </row>
    <row r="770" spans="1:10" ht="13.2" x14ac:dyDescent="0.25">
      <c r="A770" s="17"/>
      <c r="B770" s="17"/>
      <c r="D770" s="18"/>
      <c r="E770" s="18"/>
      <c r="F770" s="18"/>
      <c r="G770" s="18"/>
      <c r="H770" s="58"/>
      <c r="I770" s="21"/>
      <c r="J770" s="22"/>
    </row>
    <row r="771" spans="1:10" ht="13.2" x14ac:dyDescent="0.25">
      <c r="A771" s="17"/>
      <c r="B771" s="17"/>
      <c r="D771" s="18"/>
      <c r="E771" s="18"/>
      <c r="F771" s="18"/>
      <c r="G771" s="18"/>
      <c r="H771" s="58"/>
      <c r="I771" s="21"/>
      <c r="J771" s="22"/>
    </row>
    <row r="772" spans="1:10" ht="13.2" x14ac:dyDescent="0.25">
      <c r="A772" s="17"/>
      <c r="B772" s="17"/>
      <c r="D772" s="18"/>
      <c r="E772" s="18"/>
      <c r="F772" s="18"/>
      <c r="G772" s="18"/>
      <c r="H772" s="58"/>
      <c r="I772" s="21"/>
      <c r="J772" s="22"/>
    </row>
    <row r="773" spans="1:10" ht="13.2" x14ac:dyDescent="0.25">
      <c r="A773" s="17"/>
      <c r="B773" s="17"/>
      <c r="D773" s="18"/>
      <c r="E773" s="18"/>
      <c r="F773" s="18"/>
      <c r="G773" s="18"/>
      <c r="H773" s="58"/>
      <c r="I773" s="21"/>
      <c r="J773" s="22"/>
    </row>
    <row r="774" spans="1:10" ht="13.2" x14ac:dyDescent="0.25">
      <c r="A774" s="17"/>
      <c r="B774" s="17"/>
      <c r="D774" s="18"/>
      <c r="E774" s="18"/>
      <c r="F774" s="18"/>
      <c r="G774" s="18"/>
      <c r="H774" s="58"/>
      <c r="I774" s="21"/>
      <c r="J774" s="22"/>
    </row>
    <row r="775" spans="1:10" ht="13.2" x14ac:dyDescent="0.25">
      <c r="A775" s="17"/>
      <c r="B775" s="17"/>
      <c r="D775" s="18"/>
      <c r="E775" s="18"/>
      <c r="F775" s="18"/>
      <c r="G775" s="18"/>
      <c r="H775" s="58"/>
      <c r="I775" s="21"/>
      <c r="J775" s="22"/>
    </row>
    <row r="776" spans="1:10" ht="13.2" x14ac:dyDescent="0.25">
      <c r="A776" s="17"/>
      <c r="B776" s="17"/>
      <c r="D776" s="18"/>
      <c r="E776" s="18"/>
      <c r="F776" s="18"/>
      <c r="G776" s="18"/>
      <c r="H776" s="58"/>
      <c r="I776" s="21"/>
      <c r="J776" s="22"/>
    </row>
    <row r="777" spans="1:10" ht="13.2" x14ac:dyDescent="0.25">
      <c r="A777" s="17"/>
      <c r="B777" s="17"/>
      <c r="D777" s="18"/>
      <c r="E777" s="18"/>
      <c r="F777" s="18"/>
      <c r="G777" s="18"/>
      <c r="H777" s="58"/>
      <c r="I777" s="21"/>
      <c r="J777" s="22"/>
    </row>
    <row r="778" spans="1:10" ht="13.2" x14ac:dyDescent="0.25">
      <c r="A778" s="17"/>
      <c r="B778" s="17"/>
      <c r="D778" s="18"/>
      <c r="E778" s="18"/>
      <c r="F778" s="18"/>
      <c r="G778" s="18"/>
      <c r="H778" s="58"/>
      <c r="I778" s="21"/>
      <c r="J778" s="22"/>
    </row>
    <row r="779" spans="1:10" ht="13.2" x14ac:dyDescent="0.25">
      <c r="A779" s="17"/>
      <c r="B779" s="17"/>
      <c r="D779" s="18"/>
      <c r="E779" s="18"/>
      <c r="F779" s="18"/>
      <c r="G779" s="18"/>
      <c r="H779" s="58"/>
      <c r="I779" s="21"/>
      <c r="J779" s="22"/>
    </row>
    <row r="780" spans="1:10" ht="13.2" x14ac:dyDescent="0.25">
      <c r="A780" s="17"/>
      <c r="B780" s="17"/>
      <c r="D780" s="18"/>
      <c r="E780" s="18"/>
      <c r="F780" s="18"/>
      <c r="G780" s="18"/>
      <c r="H780" s="58"/>
      <c r="I780" s="21"/>
      <c r="J780" s="22"/>
    </row>
    <row r="781" spans="1:10" ht="13.2" x14ac:dyDescent="0.25">
      <c r="A781" s="17"/>
      <c r="B781" s="17"/>
      <c r="D781" s="18"/>
      <c r="E781" s="18"/>
      <c r="F781" s="18"/>
      <c r="G781" s="18"/>
      <c r="H781" s="58"/>
      <c r="I781" s="21"/>
      <c r="J781" s="22"/>
    </row>
    <row r="782" spans="1:10" ht="13.2" x14ac:dyDescent="0.25">
      <c r="A782" s="17"/>
      <c r="B782" s="17"/>
      <c r="D782" s="18"/>
      <c r="E782" s="18"/>
      <c r="F782" s="18"/>
      <c r="G782" s="18"/>
      <c r="H782" s="58"/>
      <c r="I782" s="21"/>
      <c r="J782" s="22"/>
    </row>
    <row r="783" spans="1:10" ht="13.2" x14ac:dyDescent="0.25">
      <c r="A783" s="17"/>
      <c r="B783" s="17"/>
      <c r="D783" s="18"/>
      <c r="E783" s="18"/>
      <c r="F783" s="18"/>
      <c r="G783" s="18"/>
      <c r="H783" s="58"/>
      <c r="I783" s="21"/>
      <c r="J783" s="22"/>
    </row>
    <row r="784" spans="1:10" ht="13.2" x14ac:dyDescent="0.25">
      <c r="A784" s="17"/>
      <c r="B784" s="17"/>
      <c r="D784" s="18"/>
      <c r="E784" s="18"/>
      <c r="F784" s="18"/>
      <c r="G784" s="18"/>
      <c r="H784" s="58"/>
      <c r="I784" s="21"/>
      <c r="J784" s="22"/>
    </row>
    <row r="785" spans="1:10" ht="13.2" x14ac:dyDescent="0.25">
      <c r="A785" s="17"/>
      <c r="B785" s="17"/>
      <c r="D785" s="18"/>
      <c r="E785" s="18"/>
      <c r="F785" s="18"/>
      <c r="G785" s="18"/>
      <c r="H785" s="58"/>
      <c r="I785" s="21"/>
      <c r="J785" s="22"/>
    </row>
    <row r="786" spans="1:10" ht="13.2" x14ac:dyDescent="0.25">
      <c r="A786" s="17"/>
      <c r="B786" s="17"/>
      <c r="D786" s="18"/>
      <c r="E786" s="18"/>
      <c r="F786" s="18"/>
      <c r="G786" s="18"/>
      <c r="H786" s="58"/>
      <c r="I786" s="21"/>
      <c r="J786" s="22"/>
    </row>
    <row r="787" spans="1:10" ht="13.2" x14ac:dyDescent="0.25">
      <c r="A787" s="17"/>
      <c r="B787" s="17"/>
      <c r="D787" s="18"/>
      <c r="E787" s="18"/>
      <c r="F787" s="18"/>
      <c r="G787" s="18"/>
      <c r="H787" s="58"/>
      <c r="I787" s="21"/>
      <c r="J787" s="22"/>
    </row>
    <row r="788" spans="1:10" ht="13.2" x14ac:dyDescent="0.25">
      <c r="A788" s="17"/>
      <c r="B788" s="17"/>
      <c r="D788" s="18"/>
      <c r="E788" s="18"/>
      <c r="F788" s="18"/>
      <c r="G788" s="18"/>
      <c r="H788" s="58"/>
      <c r="I788" s="21"/>
      <c r="J788" s="22"/>
    </row>
    <row r="789" spans="1:10" ht="13.2" x14ac:dyDescent="0.25">
      <c r="A789" s="17"/>
      <c r="B789" s="17"/>
      <c r="D789" s="18"/>
      <c r="E789" s="18"/>
      <c r="F789" s="18"/>
      <c r="G789" s="18"/>
      <c r="H789" s="58"/>
      <c r="I789" s="21"/>
      <c r="J789" s="22"/>
    </row>
    <row r="790" spans="1:10" ht="13.2" x14ac:dyDescent="0.25">
      <c r="A790" s="17"/>
      <c r="B790" s="17"/>
      <c r="D790" s="18"/>
      <c r="E790" s="18"/>
      <c r="F790" s="18"/>
      <c r="G790" s="18"/>
      <c r="H790" s="58"/>
      <c r="I790" s="21"/>
      <c r="J790" s="22"/>
    </row>
    <row r="791" spans="1:10" ht="13.2" x14ac:dyDescent="0.25">
      <c r="A791" s="17"/>
      <c r="B791" s="17"/>
      <c r="D791" s="18"/>
      <c r="E791" s="18"/>
      <c r="F791" s="18"/>
      <c r="G791" s="18"/>
      <c r="H791" s="58"/>
      <c r="I791" s="21"/>
      <c r="J791" s="22"/>
    </row>
    <row r="792" spans="1:10" ht="13.2" x14ac:dyDescent="0.25">
      <c r="A792" s="17"/>
      <c r="B792" s="17"/>
      <c r="D792" s="18"/>
      <c r="E792" s="18"/>
      <c r="F792" s="18"/>
      <c r="G792" s="18"/>
      <c r="H792" s="58"/>
      <c r="I792" s="21"/>
      <c r="J792" s="22"/>
    </row>
    <row r="793" spans="1:10" ht="13.2" x14ac:dyDescent="0.25">
      <c r="A793" s="17"/>
      <c r="B793" s="17"/>
      <c r="D793" s="18"/>
      <c r="E793" s="18"/>
      <c r="F793" s="18"/>
      <c r="G793" s="18"/>
      <c r="H793" s="58"/>
      <c r="I793" s="21"/>
      <c r="J793" s="22"/>
    </row>
    <row r="794" spans="1:10" ht="13.2" x14ac:dyDescent="0.25">
      <c r="A794" s="17"/>
      <c r="B794" s="17"/>
      <c r="D794" s="18"/>
      <c r="E794" s="18"/>
      <c r="F794" s="18"/>
      <c r="G794" s="18"/>
      <c r="H794" s="58"/>
      <c r="I794" s="21"/>
      <c r="J794" s="22"/>
    </row>
    <row r="795" spans="1:10" ht="13.2" x14ac:dyDescent="0.25">
      <c r="A795" s="17"/>
      <c r="B795" s="17"/>
      <c r="D795" s="18"/>
      <c r="E795" s="18"/>
      <c r="F795" s="18"/>
      <c r="G795" s="18"/>
      <c r="H795" s="58"/>
      <c r="I795" s="21"/>
      <c r="J795" s="22"/>
    </row>
    <row r="796" spans="1:10" ht="13.2" x14ac:dyDescent="0.25">
      <c r="A796" s="17"/>
      <c r="B796" s="17"/>
      <c r="D796" s="18"/>
      <c r="E796" s="18"/>
      <c r="F796" s="18"/>
      <c r="G796" s="18"/>
      <c r="H796" s="58"/>
      <c r="I796" s="21"/>
      <c r="J796" s="22"/>
    </row>
    <row r="797" spans="1:10" ht="13.2" x14ac:dyDescent="0.25">
      <c r="A797" s="17"/>
      <c r="B797" s="17"/>
      <c r="D797" s="18"/>
      <c r="E797" s="18"/>
      <c r="F797" s="18"/>
      <c r="G797" s="18"/>
      <c r="H797" s="58"/>
      <c r="I797" s="21"/>
      <c r="J797" s="22"/>
    </row>
    <row r="798" spans="1:10" ht="13.2" x14ac:dyDescent="0.25">
      <c r="A798" s="17"/>
      <c r="B798" s="17"/>
      <c r="D798" s="18"/>
      <c r="E798" s="18"/>
      <c r="F798" s="18"/>
      <c r="G798" s="18"/>
      <c r="H798" s="58"/>
      <c r="I798" s="21"/>
      <c r="J798" s="22"/>
    </row>
    <row r="799" spans="1:10" ht="13.2" x14ac:dyDescent="0.25">
      <c r="A799" s="17"/>
      <c r="B799" s="17"/>
      <c r="D799" s="18"/>
      <c r="E799" s="18"/>
      <c r="F799" s="18"/>
      <c r="G799" s="18"/>
      <c r="H799" s="58"/>
      <c r="I799" s="21"/>
      <c r="J799" s="22"/>
    </row>
    <row r="800" spans="1:10" ht="13.2" x14ac:dyDescent="0.25">
      <c r="A800" s="17"/>
      <c r="B800" s="17"/>
      <c r="D800" s="18"/>
      <c r="E800" s="18"/>
      <c r="F800" s="18"/>
      <c r="G800" s="18"/>
      <c r="H800" s="58"/>
      <c r="I800" s="21"/>
      <c r="J800" s="22"/>
    </row>
    <row r="801" spans="1:10" ht="13.2" x14ac:dyDescent="0.25">
      <c r="A801" s="17"/>
      <c r="B801" s="17"/>
      <c r="D801" s="18"/>
      <c r="E801" s="18"/>
      <c r="F801" s="18"/>
      <c r="G801" s="18"/>
      <c r="H801" s="58"/>
      <c r="I801" s="21"/>
      <c r="J801" s="22"/>
    </row>
    <row r="802" spans="1:10" ht="13.2" x14ac:dyDescent="0.25">
      <c r="A802" s="17"/>
      <c r="B802" s="17"/>
      <c r="D802" s="18"/>
      <c r="E802" s="18"/>
      <c r="F802" s="18"/>
      <c r="G802" s="18"/>
      <c r="H802" s="58"/>
      <c r="I802" s="21"/>
      <c r="J802" s="22"/>
    </row>
    <row r="803" spans="1:10" ht="13.2" x14ac:dyDescent="0.25">
      <c r="A803" s="17"/>
      <c r="B803" s="17"/>
      <c r="D803" s="18"/>
      <c r="E803" s="18"/>
      <c r="F803" s="18"/>
      <c r="G803" s="18"/>
      <c r="H803" s="58"/>
      <c r="I803" s="21"/>
      <c r="J803" s="22"/>
    </row>
    <row r="804" spans="1:10" ht="13.2" x14ac:dyDescent="0.25">
      <c r="A804" s="17"/>
      <c r="B804" s="17"/>
      <c r="D804" s="18"/>
      <c r="E804" s="18"/>
      <c r="F804" s="18"/>
      <c r="G804" s="18"/>
      <c r="H804" s="58"/>
      <c r="I804" s="21"/>
      <c r="J804" s="22"/>
    </row>
    <row r="805" spans="1:10" ht="13.2" x14ac:dyDescent="0.25">
      <c r="A805" s="17"/>
      <c r="B805" s="17"/>
      <c r="D805" s="18"/>
      <c r="E805" s="18"/>
      <c r="F805" s="18"/>
      <c r="G805" s="18"/>
      <c r="H805" s="58"/>
      <c r="I805" s="21"/>
      <c r="J805" s="22"/>
    </row>
    <row r="806" spans="1:10" ht="13.2" x14ac:dyDescent="0.25">
      <c r="A806" s="17"/>
      <c r="B806" s="17"/>
      <c r="D806" s="18"/>
      <c r="E806" s="18"/>
      <c r="F806" s="18"/>
      <c r="G806" s="18"/>
      <c r="H806" s="58"/>
      <c r="I806" s="21"/>
      <c r="J806" s="22"/>
    </row>
    <row r="807" spans="1:10" ht="13.2" x14ac:dyDescent="0.25">
      <c r="A807" s="17"/>
      <c r="B807" s="17"/>
      <c r="D807" s="18"/>
      <c r="E807" s="18"/>
      <c r="F807" s="18"/>
      <c r="G807" s="18"/>
      <c r="H807" s="58"/>
      <c r="I807" s="21"/>
      <c r="J807" s="22"/>
    </row>
    <row r="808" spans="1:10" ht="13.2" x14ac:dyDescent="0.25">
      <c r="A808" s="17"/>
      <c r="B808" s="17"/>
      <c r="D808" s="18"/>
      <c r="E808" s="18"/>
      <c r="F808" s="18"/>
      <c r="G808" s="18"/>
      <c r="H808" s="58"/>
      <c r="I808" s="21"/>
      <c r="J808" s="22"/>
    </row>
    <row r="809" spans="1:10" ht="13.2" x14ac:dyDescent="0.25">
      <c r="A809" s="17"/>
      <c r="B809" s="17"/>
      <c r="D809" s="18"/>
      <c r="E809" s="18"/>
      <c r="F809" s="18"/>
      <c r="G809" s="18"/>
      <c r="H809" s="58"/>
      <c r="I809" s="21"/>
      <c r="J809" s="22"/>
    </row>
    <row r="810" spans="1:10" ht="13.2" x14ac:dyDescent="0.25">
      <c r="A810" s="17"/>
      <c r="B810" s="17"/>
      <c r="D810" s="18"/>
      <c r="E810" s="18"/>
      <c r="F810" s="18"/>
      <c r="G810" s="18"/>
      <c r="H810" s="58"/>
      <c r="I810" s="21"/>
      <c r="J810" s="22"/>
    </row>
    <row r="811" spans="1:10" ht="13.2" x14ac:dyDescent="0.25">
      <c r="A811" s="17"/>
      <c r="B811" s="17"/>
      <c r="D811" s="18"/>
      <c r="E811" s="18"/>
      <c r="F811" s="18"/>
      <c r="G811" s="18"/>
      <c r="H811" s="58"/>
      <c r="I811" s="21"/>
      <c r="J811" s="22"/>
    </row>
    <row r="812" spans="1:10" ht="13.2" x14ac:dyDescent="0.25">
      <c r="A812" s="17"/>
      <c r="B812" s="17"/>
      <c r="D812" s="18"/>
      <c r="E812" s="18"/>
      <c r="F812" s="18"/>
      <c r="G812" s="18"/>
      <c r="H812" s="58"/>
      <c r="I812" s="21"/>
      <c r="J812" s="22"/>
    </row>
    <row r="813" spans="1:10" ht="13.2" x14ac:dyDescent="0.25">
      <c r="A813" s="17"/>
      <c r="B813" s="17"/>
      <c r="D813" s="18"/>
      <c r="E813" s="18"/>
      <c r="F813" s="18"/>
      <c r="G813" s="18"/>
      <c r="H813" s="58"/>
      <c r="I813" s="21"/>
      <c r="J813" s="22"/>
    </row>
    <row r="814" spans="1:10" ht="13.2" x14ac:dyDescent="0.25">
      <c r="A814" s="17"/>
      <c r="B814" s="17"/>
      <c r="D814" s="18"/>
      <c r="E814" s="18"/>
      <c r="F814" s="18"/>
      <c r="G814" s="18"/>
      <c r="H814" s="58"/>
      <c r="I814" s="21"/>
      <c r="J814" s="22"/>
    </row>
    <row r="815" spans="1:10" ht="13.2" x14ac:dyDescent="0.25">
      <c r="A815" s="17"/>
      <c r="B815" s="17"/>
      <c r="D815" s="18"/>
      <c r="E815" s="18"/>
      <c r="F815" s="18"/>
      <c r="G815" s="18"/>
      <c r="H815" s="58"/>
      <c r="I815" s="21"/>
      <c r="J815" s="22"/>
    </row>
    <row r="816" spans="1:10" ht="13.2" x14ac:dyDescent="0.25">
      <c r="A816" s="17"/>
      <c r="B816" s="17"/>
      <c r="D816" s="18"/>
      <c r="E816" s="18"/>
      <c r="F816" s="18"/>
      <c r="G816" s="18"/>
      <c r="H816" s="58"/>
      <c r="I816" s="21"/>
      <c r="J816" s="22"/>
    </row>
    <row r="817" spans="1:10" ht="13.2" x14ac:dyDescent="0.25">
      <c r="A817" s="17"/>
      <c r="B817" s="17"/>
      <c r="D817" s="18"/>
      <c r="E817" s="18"/>
      <c r="F817" s="18"/>
      <c r="G817" s="18"/>
      <c r="H817" s="58"/>
      <c r="I817" s="21"/>
      <c r="J817" s="22"/>
    </row>
    <row r="818" spans="1:10" ht="13.2" x14ac:dyDescent="0.25">
      <c r="A818" s="17"/>
      <c r="B818" s="17"/>
      <c r="D818" s="18"/>
      <c r="E818" s="18"/>
      <c r="F818" s="18"/>
      <c r="G818" s="18"/>
      <c r="H818" s="58"/>
      <c r="I818" s="21"/>
      <c r="J818" s="22"/>
    </row>
    <row r="819" spans="1:10" ht="13.2" x14ac:dyDescent="0.25">
      <c r="A819" s="17"/>
      <c r="B819" s="17"/>
      <c r="D819" s="18"/>
      <c r="E819" s="18"/>
      <c r="F819" s="18"/>
      <c r="G819" s="18"/>
      <c r="H819" s="58"/>
      <c r="I819" s="21"/>
      <c r="J819" s="22"/>
    </row>
    <row r="820" spans="1:10" ht="13.2" x14ac:dyDescent="0.25">
      <c r="A820" s="17"/>
      <c r="B820" s="17"/>
      <c r="D820" s="18"/>
      <c r="E820" s="18"/>
      <c r="F820" s="18"/>
      <c r="G820" s="18"/>
      <c r="H820" s="58"/>
      <c r="I820" s="21"/>
      <c r="J820" s="22"/>
    </row>
    <row r="821" spans="1:10" ht="13.2" x14ac:dyDescent="0.25">
      <c r="A821" s="17"/>
      <c r="B821" s="17"/>
      <c r="D821" s="18"/>
      <c r="E821" s="18"/>
      <c r="F821" s="18"/>
      <c r="G821" s="18"/>
      <c r="H821" s="58"/>
      <c r="I821" s="21"/>
      <c r="J821" s="22"/>
    </row>
    <row r="822" spans="1:10" ht="13.2" x14ac:dyDescent="0.25">
      <c r="A822" s="17"/>
      <c r="B822" s="17"/>
      <c r="D822" s="18"/>
      <c r="E822" s="18"/>
      <c r="F822" s="18"/>
      <c r="G822" s="18"/>
      <c r="H822" s="58"/>
      <c r="I822" s="21"/>
      <c r="J822" s="22"/>
    </row>
    <row r="823" spans="1:10" ht="13.2" x14ac:dyDescent="0.25">
      <c r="A823" s="17"/>
      <c r="B823" s="17"/>
      <c r="D823" s="18"/>
      <c r="E823" s="18"/>
      <c r="F823" s="18"/>
      <c r="G823" s="18"/>
      <c r="H823" s="58"/>
      <c r="I823" s="21"/>
      <c r="J823" s="22"/>
    </row>
    <row r="824" spans="1:10" ht="13.2" x14ac:dyDescent="0.25">
      <c r="A824" s="17"/>
      <c r="B824" s="17"/>
      <c r="D824" s="18"/>
      <c r="E824" s="18"/>
      <c r="F824" s="18"/>
      <c r="G824" s="18"/>
      <c r="H824" s="58"/>
      <c r="I824" s="21"/>
      <c r="J824" s="22"/>
    </row>
    <row r="825" spans="1:10" ht="13.2" x14ac:dyDescent="0.25">
      <c r="A825" s="17"/>
      <c r="B825" s="17"/>
      <c r="D825" s="18"/>
      <c r="E825" s="18"/>
      <c r="F825" s="18"/>
      <c r="G825" s="18"/>
      <c r="H825" s="58"/>
      <c r="I825" s="21"/>
      <c r="J825" s="22"/>
    </row>
    <row r="826" spans="1:10" ht="13.2" x14ac:dyDescent="0.25">
      <c r="A826" s="17"/>
      <c r="B826" s="17"/>
      <c r="D826" s="18"/>
      <c r="E826" s="18"/>
      <c r="F826" s="18"/>
      <c r="G826" s="18"/>
      <c r="H826" s="58"/>
      <c r="I826" s="21"/>
      <c r="J826" s="22"/>
    </row>
    <row r="827" spans="1:10" ht="13.2" x14ac:dyDescent="0.25">
      <c r="A827" s="17"/>
      <c r="B827" s="17"/>
      <c r="D827" s="18"/>
      <c r="E827" s="18"/>
      <c r="F827" s="18"/>
      <c r="G827" s="18"/>
      <c r="H827" s="58"/>
      <c r="I827" s="21"/>
      <c r="J827" s="22"/>
    </row>
    <row r="828" spans="1:10" ht="13.2" x14ac:dyDescent="0.25">
      <c r="A828" s="17"/>
      <c r="B828" s="17"/>
      <c r="D828" s="18"/>
      <c r="E828" s="18"/>
      <c r="F828" s="18"/>
      <c r="G828" s="18"/>
      <c r="H828" s="58"/>
      <c r="I828" s="21"/>
      <c r="J828" s="22"/>
    </row>
    <row r="829" spans="1:10" ht="13.2" x14ac:dyDescent="0.25">
      <c r="A829" s="17"/>
      <c r="B829" s="17"/>
      <c r="D829" s="18"/>
      <c r="E829" s="18"/>
      <c r="F829" s="18"/>
      <c r="G829" s="18"/>
      <c r="H829" s="58"/>
      <c r="I829" s="21"/>
      <c r="J829" s="22"/>
    </row>
    <row r="830" spans="1:10" ht="13.2" x14ac:dyDescent="0.25">
      <c r="A830" s="17"/>
      <c r="B830" s="17"/>
      <c r="D830" s="18"/>
      <c r="E830" s="18"/>
      <c r="F830" s="18"/>
      <c r="G830" s="18"/>
      <c r="H830" s="58"/>
      <c r="I830" s="21"/>
      <c r="J830" s="22"/>
    </row>
    <row r="831" spans="1:10" ht="13.2" x14ac:dyDescent="0.25">
      <c r="A831" s="17"/>
      <c r="B831" s="17"/>
      <c r="D831" s="18"/>
      <c r="E831" s="18"/>
      <c r="F831" s="18"/>
      <c r="G831" s="18"/>
      <c r="H831" s="58"/>
      <c r="I831" s="21"/>
      <c r="J831" s="22"/>
    </row>
    <row r="832" spans="1:10" ht="13.2" x14ac:dyDescent="0.25">
      <c r="A832" s="17"/>
      <c r="B832" s="17"/>
      <c r="D832" s="18"/>
      <c r="E832" s="18"/>
      <c r="F832" s="18"/>
      <c r="G832" s="18"/>
      <c r="H832" s="58"/>
      <c r="I832" s="21"/>
      <c r="J832" s="22"/>
    </row>
    <row r="833" spans="1:10" ht="13.2" x14ac:dyDescent="0.25">
      <c r="A833" s="17"/>
      <c r="B833" s="17"/>
      <c r="D833" s="18"/>
      <c r="E833" s="18"/>
      <c r="F833" s="18"/>
      <c r="G833" s="18"/>
      <c r="H833" s="58"/>
      <c r="I833" s="21"/>
      <c r="J833" s="22"/>
    </row>
    <row r="834" spans="1:10" ht="13.2" x14ac:dyDescent="0.25">
      <c r="A834" s="17"/>
      <c r="B834" s="17"/>
      <c r="D834" s="18"/>
      <c r="E834" s="18"/>
      <c r="F834" s="18"/>
      <c r="G834" s="18"/>
      <c r="H834" s="58"/>
      <c r="I834" s="21"/>
      <c r="J834" s="22"/>
    </row>
    <row r="835" spans="1:10" ht="13.2" x14ac:dyDescent="0.25">
      <c r="A835" s="17"/>
      <c r="B835" s="17"/>
      <c r="D835" s="18"/>
      <c r="E835" s="18"/>
      <c r="F835" s="18"/>
      <c r="G835" s="18"/>
      <c r="H835" s="58"/>
      <c r="I835" s="21"/>
      <c r="J835" s="22"/>
    </row>
    <row r="836" spans="1:10" ht="13.2" x14ac:dyDescent="0.25">
      <c r="A836" s="17"/>
      <c r="B836" s="17"/>
      <c r="D836" s="18"/>
      <c r="E836" s="18"/>
      <c r="F836" s="18"/>
      <c r="G836" s="18"/>
      <c r="H836" s="58"/>
      <c r="I836" s="21"/>
      <c r="J836" s="22"/>
    </row>
    <row r="837" spans="1:10" ht="13.2" x14ac:dyDescent="0.25">
      <c r="A837" s="17"/>
      <c r="B837" s="17"/>
      <c r="D837" s="18"/>
      <c r="E837" s="18"/>
      <c r="F837" s="18"/>
      <c r="G837" s="18"/>
      <c r="H837" s="58"/>
      <c r="I837" s="21"/>
      <c r="J837" s="22"/>
    </row>
    <row r="838" spans="1:10" ht="13.2" x14ac:dyDescent="0.25">
      <c r="A838" s="17"/>
      <c r="B838" s="17"/>
      <c r="D838" s="18"/>
      <c r="E838" s="18"/>
      <c r="F838" s="18"/>
      <c r="G838" s="18"/>
      <c r="H838" s="58"/>
      <c r="I838" s="21"/>
      <c r="J838" s="22"/>
    </row>
    <row r="839" spans="1:10" ht="13.2" x14ac:dyDescent="0.25">
      <c r="A839" s="17"/>
      <c r="B839" s="17"/>
      <c r="D839" s="18"/>
      <c r="E839" s="18"/>
      <c r="F839" s="18"/>
      <c r="G839" s="18"/>
      <c r="H839" s="58"/>
      <c r="I839" s="21"/>
      <c r="J839" s="22"/>
    </row>
    <row r="840" spans="1:10" ht="13.2" x14ac:dyDescent="0.25">
      <c r="A840" s="17"/>
      <c r="B840" s="17"/>
      <c r="D840" s="18"/>
      <c r="E840" s="18"/>
      <c r="F840" s="18"/>
      <c r="G840" s="18"/>
      <c r="H840" s="58"/>
      <c r="I840" s="21"/>
      <c r="J840" s="22"/>
    </row>
    <row r="841" spans="1:10" ht="13.2" x14ac:dyDescent="0.25">
      <c r="A841" s="17"/>
      <c r="B841" s="17"/>
      <c r="D841" s="18"/>
      <c r="E841" s="18"/>
      <c r="F841" s="18"/>
      <c r="G841" s="18"/>
      <c r="H841" s="58"/>
      <c r="I841" s="21"/>
      <c r="J841" s="22"/>
    </row>
    <row r="842" spans="1:10" ht="13.2" x14ac:dyDescent="0.25">
      <c r="A842" s="17"/>
      <c r="B842" s="17"/>
      <c r="D842" s="18"/>
      <c r="E842" s="18"/>
      <c r="F842" s="18"/>
      <c r="G842" s="18"/>
      <c r="H842" s="58"/>
      <c r="I842" s="21"/>
      <c r="J842" s="22"/>
    </row>
    <row r="843" spans="1:10" ht="13.2" x14ac:dyDescent="0.25">
      <c r="A843" s="17"/>
      <c r="B843" s="17"/>
      <c r="D843" s="18"/>
      <c r="E843" s="18"/>
      <c r="F843" s="18"/>
      <c r="G843" s="18"/>
      <c r="H843" s="58"/>
      <c r="I843" s="21"/>
      <c r="J843" s="22"/>
    </row>
    <row r="844" spans="1:10" ht="13.2" x14ac:dyDescent="0.25">
      <c r="A844" s="17"/>
      <c r="B844" s="17"/>
      <c r="D844" s="18"/>
      <c r="E844" s="18"/>
      <c r="F844" s="18"/>
      <c r="G844" s="18"/>
      <c r="H844" s="58"/>
      <c r="I844" s="21"/>
      <c r="J844" s="22"/>
    </row>
    <row r="845" spans="1:10" ht="13.2" x14ac:dyDescent="0.25">
      <c r="A845" s="17"/>
      <c r="B845" s="17"/>
      <c r="D845" s="18"/>
      <c r="E845" s="18"/>
      <c r="F845" s="18"/>
      <c r="G845" s="18"/>
      <c r="H845" s="58"/>
      <c r="I845" s="21"/>
      <c r="J845" s="22"/>
    </row>
    <row r="846" spans="1:10" ht="13.2" x14ac:dyDescent="0.25">
      <c r="A846" s="17"/>
      <c r="B846" s="17"/>
      <c r="D846" s="18"/>
      <c r="E846" s="18"/>
      <c r="F846" s="18"/>
      <c r="G846" s="18"/>
      <c r="H846" s="58"/>
      <c r="I846" s="21"/>
      <c r="J846" s="22"/>
    </row>
    <row r="847" spans="1:10" ht="13.2" x14ac:dyDescent="0.25">
      <c r="A847" s="17"/>
      <c r="B847" s="17"/>
      <c r="D847" s="18"/>
      <c r="E847" s="18"/>
      <c r="F847" s="18"/>
      <c r="G847" s="18"/>
      <c r="H847" s="58"/>
      <c r="I847" s="21"/>
      <c r="J847" s="22"/>
    </row>
    <row r="848" spans="1:10" ht="13.2" x14ac:dyDescent="0.25">
      <c r="A848" s="17"/>
      <c r="B848" s="17"/>
      <c r="D848" s="18"/>
      <c r="E848" s="18"/>
      <c r="F848" s="18"/>
      <c r="G848" s="18"/>
      <c r="H848" s="58"/>
      <c r="I848" s="21"/>
      <c r="J848" s="22"/>
    </row>
    <row r="849" spans="1:10" ht="13.2" x14ac:dyDescent="0.25">
      <c r="A849" s="17"/>
      <c r="B849" s="17"/>
      <c r="D849" s="18"/>
      <c r="E849" s="18"/>
      <c r="F849" s="18"/>
      <c r="G849" s="18"/>
      <c r="H849" s="58"/>
      <c r="I849" s="21"/>
      <c r="J849" s="22"/>
    </row>
    <row r="850" spans="1:10" ht="13.2" x14ac:dyDescent="0.25">
      <c r="A850" s="17"/>
      <c r="B850" s="17"/>
      <c r="D850" s="18"/>
      <c r="E850" s="18"/>
      <c r="F850" s="18"/>
      <c r="G850" s="18"/>
      <c r="H850" s="58"/>
      <c r="I850" s="21"/>
      <c r="J850" s="22"/>
    </row>
    <row r="851" spans="1:10" ht="13.2" x14ac:dyDescent="0.25">
      <c r="A851" s="17"/>
      <c r="B851" s="17"/>
      <c r="D851" s="18"/>
      <c r="E851" s="18"/>
      <c r="F851" s="18"/>
      <c r="G851" s="18"/>
      <c r="H851" s="58"/>
      <c r="I851" s="21"/>
      <c r="J851" s="22"/>
    </row>
    <row r="852" spans="1:10" ht="13.2" x14ac:dyDescent="0.25">
      <c r="A852" s="17"/>
      <c r="B852" s="17"/>
      <c r="D852" s="18"/>
      <c r="E852" s="18"/>
      <c r="F852" s="18"/>
      <c r="G852" s="18"/>
      <c r="H852" s="58"/>
      <c r="I852" s="21"/>
      <c r="J852" s="22"/>
    </row>
    <row r="853" spans="1:10" ht="13.2" x14ac:dyDescent="0.25">
      <c r="A853" s="17"/>
      <c r="B853" s="17"/>
      <c r="D853" s="18"/>
      <c r="E853" s="18"/>
      <c r="F853" s="18"/>
      <c r="G853" s="18"/>
      <c r="H853" s="58"/>
      <c r="I853" s="21"/>
      <c r="J853" s="22"/>
    </row>
    <row r="854" spans="1:10" ht="13.2" x14ac:dyDescent="0.25">
      <c r="A854" s="17"/>
      <c r="B854" s="17"/>
      <c r="D854" s="18"/>
      <c r="E854" s="18"/>
      <c r="F854" s="18"/>
      <c r="G854" s="18"/>
      <c r="H854" s="58"/>
      <c r="I854" s="21"/>
      <c r="J854" s="22"/>
    </row>
    <row r="855" spans="1:10" ht="13.2" x14ac:dyDescent="0.25">
      <c r="A855" s="17"/>
      <c r="B855" s="17"/>
      <c r="D855" s="18"/>
      <c r="E855" s="18"/>
      <c r="F855" s="18"/>
      <c r="G855" s="18"/>
      <c r="H855" s="58"/>
      <c r="I855" s="21"/>
      <c r="J855" s="22"/>
    </row>
    <row r="856" spans="1:10" ht="13.2" x14ac:dyDescent="0.25">
      <c r="A856" s="17"/>
      <c r="B856" s="17"/>
      <c r="D856" s="18"/>
      <c r="E856" s="18"/>
      <c r="F856" s="18"/>
      <c r="G856" s="18"/>
      <c r="H856" s="58"/>
      <c r="I856" s="21"/>
      <c r="J856" s="22"/>
    </row>
    <row r="857" spans="1:10" ht="13.2" x14ac:dyDescent="0.25">
      <c r="A857" s="17"/>
      <c r="B857" s="17"/>
      <c r="D857" s="18"/>
      <c r="E857" s="18"/>
      <c r="F857" s="18"/>
      <c r="G857" s="18"/>
      <c r="H857" s="58"/>
      <c r="I857" s="21"/>
      <c r="J857" s="22"/>
    </row>
    <row r="858" spans="1:10" ht="13.2" x14ac:dyDescent="0.25">
      <c r="A858" s="17"/>
      <c r="B858" s="17"/>
      <c r="D858" s="18"/>
      <c r="E858" s="18"/>
      <c r="F858" s="18"/>
      <c r="G858" s="18"/>
      <c r="H858" s="58"/>
      <c r="I858" s="21"/>
      <c r="J858" s="22"/>
    </row>
    <row r="859" spans="1:10" ht="13.2" x14ac:dyDescent="0.25">
      <c r="A859" s="17"/>
      <c r="B859" s="17"/>
      <c r="D859" s="18"/>
      <c r="E859" s="18"/>
      <c r="F859" s="18"/>
      <c r="G859" s="18"/>
      <c r="H859" s="58"/>
      <c r="I859" s="21"/>
      <c r="J859" s="22"/>
    </row>
    <row r="860" spans="1:10" ht="13.2" x14ac:dyDescent="0.25">
      <c r="A860" s="17"/>
      <c r="B860" s="17"/>
      <c r="D860" s="18"/>
      <c r="E860" s="18"/>
      <c r="F860" s="18"/>
      <c r="G860" s="18"/>
      <c r="H860" s="58"/>
      <c r="I860" s="21"/>
      <c r="J860" s="22"/>
    </row>
    <row r="861" spans="1:10" ht="13.2" x14ac:dyDescent="0.25">
      <c r="A861" s="17"/>
      <c r="B861" s="17"/>
      <c r="D861" s="18"/>
      <c r="E861" s="18"/>
      <c r="F861" s="18"/>
      <c r="G861" s="18"/>
      <c r="H861" s="58"/>
      <c r="I861" s="21"/>
      <c r="J861" s="22"/>
    </row>
    <row r="862" spans="1:10" ht="13.2" x14ac:dyDescent="0.25">
      <c r="A862" s="17"/>
      <c r="B862" s="17"/>
      <c r="D862" s="18"/>
      <c r="E862" s="18"/>
      <c r="F862" s="18"/>
      <c r="G862" s="18"/>
      <c r="H862" s="58"/>
      <c r="I862" s="21"/>
      <c r="J862" s="22"/>
    </row>
    <row r="863" spans="1:10" ht="13.2" x14ac:dyDescent="0.25">
      <c r="A863" s="17"/>
      <c r="B863" s="17"/>
      <c r="D863" s="18"/>
      <c r="E863" s="18"/>
      <c r="F863" s="18"/>
      <c r="G863" s="18"/>
      <c r="H863" s="58"/>
      <c r="I863" s="21"/>
      <c r="J863" s="22"/>
    </row>
    <row r="864" spans="1:10" ht="13.2" x14ac:dyDescent="0.25">
      <c r="A864" s="17"/>
      <c r="B864" s="17"/>
      <c r="D864" s="18"/>
      <c r="E864" s="18"/>
      <c r="F864" s="18"/>
      <c r="G864" s="18"/>
      <c r="H864" s="58"/>
      <c r="I864" s="21"/>
      <c r="J864" s="22"/>
    </row>
    <row r="865" spans="1:10" ht="13.2" x14ac:dyDescent="0.25">
      <c r="A865" s="17"/>
      <c r="B865" s="17"/>
      <c r="D865" s="18"/>
      <c r="E865" s="18"/>
      <c r="F865" s="18"/>
      <c r="G865" s="18"/>
      <c r="H865" s="58"/>
      <c r="I865" s="21"/>
      <c r="J865" s="22"/>
    </row>
    <row r="866" spans="1:10" ht="13.2" x14ac:dyDescent="0.25">
      <c r="A866" s="17"/>
      <c r="B866" s="17"/>
      <c r="D866" s="18"/>
      <c r="E866" s="18"/>
      <c r="F866" s="18"/>
      <c r="G866" s="18"/>
      <c r="H866" s="58"/>
      <c r="I866" s="21"/>
      <c r="J866" s="22"/>
    </row>
    <row r="867" spans="1:10" ht="13.2" x14ac:dyDescent="0.25">
      <c r="A867" s="17"/>
      <c r="B867" s="17"/>
      <c r="D867" s="18"/>
      <c r="E867" s="18"/>
      <c r="F867" s="18"/>
      <c r="G867" s="18"/>
      <c r="H867" s="58"/>
      <c r="I867" s="21"/>
      <c r="J867" s="22"/>
    </row>
    <row r="868" spans="1:10" ht="13.2" x14ac:dyDescent="0.25">
      <c r="A868" s="17"/>
      <c r="B868" s="17"/>
      <c r="D868" s="18"/>
      <c r="E868" s="18"/>
      <c r="F868" s="18"/>
      <c r="G868" s="18"/>
      <c r="H868" s="58"/>
      <c r="I868" s="21"/>
      <c r="J868" s="22"/>
    </row>
    <row r="869" spans="1:10" ht="13.2" x14ac:dyDescent="0.25">
      <c r="A869" s="17"/>
      <c r="B869" s="17"/>
      <c r="D869" s="18"/>
      <c r="E869" s="18"/>
      <c r="F869" s="18"/>
      <c r="G869" s="18"/>
      <c r="H869" s="58"/>
      <c r="I869" s="21"/>
      <c r="J869" s="22"/>
    </row>
    <row r="870" spans="1:10" ht="13.2" x14ac:dyDescent="0.25">
      <c r="A870" s="17"/>
      <c r="B870" s="17"/>
      <c r="D870" s="18"/>
      <c r="E870" s="18"/>
      <c r="F870" s="18"/>
      <c r="G870" s="18"/>
      <c r="H870" s="58"/>
      <c r="I870" s="21"/>
      <c r="J870" s="22"/>
    </row>
    <row r="871" spans="1:10" ht="13.2" x14ac:dyDescent="0.25">
      <c r="A871" s="17"/>
      <c r="B871" s="17"/>
      <c r="D871" s="18"/>
      <c r="E871" s="18"/>
      <c r="F871" s="18"/>
      <c r="G871" s="18"/>
      <c r="H871" s="58"/>
      <c r="I871" s="21"/>
      <c r="J871" s="22"/>
    </row>
    <row r="872" spans="1:10" ht="13.2" x14ac:dyDescent="0.25">
      <c r="A872" s="17"/>
      <c r="B872" s="17"/>
      <c r="D872" s="18"/>
      <c r="E872" s="18"/>
      <c r="F872" s="18"/>
      <c r="G872" s="18"/>
      <c r="H872" s="58"/>
      <c r="I872" s="21"/>
      <c r="J872" s="22"/>
    </row>
    <row r="873" spans="1:10" ht="13.2" x14ac:dyDescent="0.25">
      <c r="A873" s="17"/>
      <c r="B873" s="17"/>
      <c r="D873" s="18"/>
      <c r="E873" s="18"/>
      <c r="F873" s="18"/>
      <c r="G873" s="18"/>
      <c r="H873" s="58"/>
      <c r="I873" s="21"/>
      <c r="J873" s="22"/>
    </row>
    <row r="874" spans="1:10" ht="13.2" x14ac:dyDescent="0.25">
      <c r="A874" s="17"/>
      <c r="B874" s="17"/>
      <c r="D874" s="18"/>
      <c r="E874" s="18"/>
      <c r="F874" s="18"/>
      <c r="G874" s="18"/>
      <c r="H874" s="58"/>
      <c r="I874" s="21"/>
      <c r="J874" s="22"/>
    </row>
    <row r="875" spans="1:10" ht="13.2" x14ac:dyDescent="0.25">
      <c r="A875" s="17"/>
      <c r="B875" s="17"/>
      <c r="D875" s="18"/>
      <c r="E875" s="18"/>
      <c r="F875" s="18"/>
      <c r="G875" s="18"/>
      <c r="H875" s="58"/>
      <c r="I875" s="21"/>
      <c r="J875" s="22"/>
    </row>
    <row r="876" spans="1:10" ht="13.2" x14ac:dyDescent="0.25">
      <c r="A876" s="17"/>
      <c r="B876" s="17"/>
      <c r="D876" s="18"/>
      <c r="E876" s="18"/>
      <c r="F876" s="18"/>
      <c r="G876" s="18"/>
      <c r="H876" s="58"/>
      <c r="I876" s="21"/>
      <c r="J876" s="22"/>
    </row>
    <row r="877" spans="1:10" ht="13.2" x14ac:dyDescent="0.25">
      <c r="A877" s="17"/>
      <c r="B877" s="17"/>
      <c r="D877" s="18"/>
      <c r="E877" s="18"/>
      <c r="F877" s="18"/>
      <c r="G877" s="18"/>
      <c r="H877" s="58"/>
      <c r="I877" s="21"/>
      <c r="J877" s="22"/>
    </row>
    <row r="878" spans="1:10" ht="13.2" x14ac:dyDescent="0.25">
      <c r="A878" s="17"/>
      <c r="B878" s="17"/>
      <c r="D878" s="18"/>
      <c r="E878" s="18"/>
      <c r="F878" s="18"/>
      <c r="G878" s="18"/>
      <c r="H878" s="58"/>
      <c r="I878" s="21"/>
      <c r="J878" s="22"/>
    </row>
    <row r="879" spans="1:10" ht="13.2" x14ac:dyDescent="0.25">
      <c r="A879" s="17"/>
      <c r="B879" s="17"/>
      <c r="D879" s="18"/>
      <c r="E879" s="18"/>
      <c r="F879" s="18"/>
      <c r="G879" s="18"/>
      <c r="H879" s="58"/>
      <c r="I879" s="21"/>
      <c r="J879" s="22"/>
    </row>
    <row r="880" spans="1:10" ht="13.2" x14ac:dyDescent="0.25">
      <c r="A880" s="17"/>
      <c r="B880" s="17"/>
      <c r="D880" s="18"/>
      <c r="E880" s="18"/>
      <c r="F880" s="18"/>
      <c r="G880" s="18"/>
      <c r="H880" s="58"/>
      <c r="I880" s="21"/>
      <c r="J880" s="22"/>
    </row>
    <row r="881" spans="1:10" ht="13.2" x14ac:dyDescent="0.25">
      <c r="A881" s="17"/>
      <c r="B881" s="17"/>
      <c r="D881" s="18"/>
      <c r="E881" s="18"/>
      <c r="F881" s="18"/>
      <c r="G881" s="18"/>
      <c r="H881" s="58"/>
      <c r="I881" s="21"/>
      <c r="J881" s="22"/>
    </row>
    <row r="882" spans="1:10" ht="13.2" x14ac:dyDescent="0.25">
      <c r="A882" s="17"/>
      <c r="B882" s="17"/>
      <c r="D882" s="18"/>
      <c r="E882" s="18"/>
      <c r="F882" s="18"/>
      <c r="G882" s="18"/>
      <c r="H882" s="58"/>
      <c r="I882" s="21"/>
      <c r="J882" s="22"/>
    </row>
    <row r="883" spans="1:10" ht="13.2" x14ac:dyDescent="0.25">
      <c r="A883" s="17"/>
      <c r="B883" s="17"/>
      <c r="D883" s="18"/>
      <c r="E883" s="18"/>
      <c r="F883" s="18"/>
      <c r="G883" s="18"/>
      <c r="H883" s="58"/>
      <c r="I883" s="21"/>
      <c r="J883" s="22"/>
    </row>
    <row r="884" spans="1:10" ht="13.2" x14ac:dyDescent="0.25">
      <c r="A884" s="17"/>
      <c r="B884" s="17"/>
      <c r="D884" s="18"/>
      <c r="E884" s="18"/>
      <c r="F884" s="18"/>
      <c r="G884" s="18"/>
      <c r="H884" s="58"/>
      <c r="I884" s="21"/>
      <c r="J884" s="22"/>
    </row>
    <row r="885" spans="1:10" ht="13.2" x14ac:dyDescent="0.25">
      <c r="A885" s="17"/>
      <c r="B885" s="17"/>
      <c r="D885" s="18"/>
      <c r="E885" s="18"/>
      <c r="F885" s="18"/>
      <c r="G885" s="18"/>
      <c r="H885" s="58"/>
      <c r="I885" s="21"/>
      <c r="J885" s="22"/>
    </row>
    <row r="886" spans="1:10" ht="13.2" x14ac:dyDescent="0.25">
      <c r="A886" s="17"/>
      <c r="B886" s="17"/>
      <c r="D886" s="18"/>
      <c r="E886" s="18"/>
      <c r="F886" s="18"/>
      <c r="G886" s="18"/>
      <c r="H886" s="58"/>
      <c r="I886" s="21"/>
      <c r="J886" s="22"/>
    </row>
    <row r="887" spans="1:10" ht="13.2" x14ac:dyDescent="0.25">
      <c r="A887" s="17"/>
      <c r="B887" s="17"/>
      <c r="D887" s="18"/>
      <c r="E887" s="18"/>
      <c r="F887" s="18"/>
      <c r="G887" s="18"/>
      <c r="H887" s="58"/>
      <c r="I887" s="21"/>
      <c r="J887" s="22"/>
    </row>
    <row r="888" spans="1:10" ht="13.2" x14ac:dyDescent="0.25">
      <c r="A888" s="17"/>
      <c r="B888" s="17"/>
      <c r="D888" s="18"/>
      <c r="E888" s="18"/>
      <c r="F888" s="18"/>
      <c r="G888" s="18"/>
      <c r="H888" s="58"/>
      <c r="I888" s="21"/>
      <c r="J888" s="22"/>
    </row>
    <row r="889" spans="1:10" ht="13.2" x14ac:dyDescent="0.25">
      <c r="A889" s="17"/>
      <c r="B889" s="17"/>
      <c r="D889" s="18"/>
      <c r="E889" s="18"/>
      <c r="F889" s="18"/>
      <c r="G889" s="18"/>
      <c r="H889" s="58"/>
      <c r="I889" s="21"/>
      <c r="J889" s="22"/>
    </row>
    <row r="890" spans="1:10" ht="13.2" x14ac:dyDescent="0.25">
      <c r="A890" s="17"/>
      <c r="B890" s="17"/>
      <c r="D890" s="18"/>
      <c r="E890" s="18"/>
      <c r="F890" s="18"/>
      <c r="G890" s="18"/>
      <c r="H890" s="58"/>
      <c r="I890" s="21"/>
      <c r="J890" s="22"/>
    </row>
    <row r="891" spans="1:10" ht="13.2" x14ac:dyDescent="0.25">
      <c r="A891" s="17"/>
      <c r="B891" s="17"/>
      <c r="D891" s="18"/>
      <c r="E891" s="18"/>
      <c r="F891" s="18"/>
      <c r="G891" s="18"/>
      <c r="H891" s="58"/>
      <c r="I891" s="21"/>
      <c r="J891" s="22"/>
    </row>
    <row r="892" spans="1:10" ht="13.2" x14ac:dyDescent="0.25">
      <c r="A892" s="17"/>
      <c r="B892" s="17"/>
      <c r="D892" s="18"/>
      <c r="E892" s="18"/>
      <c r="F892" s="18"/>
      <c r="G892" s="18"/>
      <c r="H892" s="58"/>
      <c r="I892" s="21"/>
      <c r="J892" s="22"/>
    </row>
    <row r="893" spans="1:10" ht="13.2" x14ac:dyDescent="0.25">
      <c r="A893" s="17"/>
      <c r="B893" s="17"/>
      <c r="D893" s="18"/>
      <c r="E893" s="18"/>
      <c r="F893" s="18"/>
      <c r="G893" s="18"/>
      <c r="H893" s="58"/>
      <c r="I893" s="21"/>
      <c r="J893" s="22"/>
    </row>
    <row r="894" spans="1:10" ht="13.2" x14ac:dyDescent="0.25">
      <c r="A894" s="17"/>
      <c r="B894" s="17"/>
      <c r="D894" s="18"/>
      <c r="E894" s="18"/>
      <c r="F894" s="18"/>
      <c r="G894" s="18"/>
      <c r="H894" s="58"/>
      <c r="I894" s="21"/>
      <c r="J894" s="22"/>
    </row>
    <row r="895" spans="1:10" ht="13.2" x14ac:dyDescent="0.25">
      <c r="A895" s="17"/>
      <c r="B895" s="17"/>
      <c r="D895" s="18"/>
      <c r="E895" s="18"/>
      <c r="F895" s="18"/>
      <c r="G895" s="18"/>
      <c r="H895" s="58"/>
      <c r="I895" s="21"/>
      <c r="J895" s="22"/>
    </row>
    <row r="896" spans="1:10" ht="13.2" x14ac:dyDescent="0.25">
      <c r="A896" s="17"/>
      <c r="B896" s="17"/>
      <c r="D896" s="18"/>
      <c r="E896" s="18"/>
      <c r="F896" s="18"/>
      <c r="G896" s="18"/>
      <c r="H896" s="58"/>
      <c r="I896" s="21"/>
      <c r="J896" s="22"/>
    </row>
    <row r="897" spans="1:10" ht="13.2" x14ac:dyDescent="0.25">
      <c r="A897" s="17"/>
      <c r="B897" s="17"/>
      <c r="D897" s="18"/>
      <c r="E897" s="18"/>
      <c r="F897" s="18"/>
      <c r="G897" s="18"/>
      <c r="H897" s="58"/>
      <c r="I897" s="21"/>
      <c r="J897" s="22"/>
    </row>
    <row r="898" spans="1:10" ht="13.2" x14ac:dyDescent="0.25">
      <c r="A898" s="17"/>
      <c r="B898" s="17"/>
      <c r="D898" s="18"/>
      <c r="E898" s="18"/>
      <c r="F898" s="18"/>
      <c r="G898" s="18"/>
      <c r="H898" s="58"/>
      <c r="I898" s="21"/>
      <c r="J898" s="22"/>
    </row>
    <row r="899" spans="1:10" ht="13.2" x14ac:dyDescent="0.25">
      <c r="A899" s="17"/>
      <c r="B899" s="17"/>
      <c r="D899" s="18"/>
      <c r="E899" s="18"/>
      <c r="F899" s="18"/>
      <c r="G899" s="18"/>
      <c r="H899" s="58"/>
      <c r="I899" s="21"/>
      <c r="J899" s="22"/>
    </row>
    <row r="900" spans="1:10" ht="13.2" x14ac:dyDescent="0.25">
      <c r="A900" s="17"/>
      <c r="B900" s="17"/>
      <c r="D900" s="18"/>
      <c r="E900" s="18"/>
      <c r="F900" s="18"/>
      <c r="G900" s="18"/>
      <c r="H900" s="58"/>
      <c r="I900" s="21"/>
      <c r="J900" s="22"/>
    </row>
    <row r="901" spans="1:10" ht="13.2" x14ac:dyDescent="0.25">
      <c r="A901" s="17"/>
      <c r="B901" s="17"/>
      <c r="D901" s="18"/>
      <c r="E901" s="18"/>
      <c r="F901" s="18"/>
      <c r="G901" s="18"/>
      <c r="H901" s="58"/>
      <c r="I901" s="21"/>
      <c r="J901" s="22"/>
    </row>
    <row r="902" spans="1:10" ht="13.2" x14ac:dyDescent="0.25">
      <c r="A902" s="17"/>
      <c r="B902" s="17"/>
      <c r="D902" s="18"/>
      <c r="E902" s="18"/>
      <c r="F902" s="18"/>
      <c r="G902" s="18"/>
      <c r="H902" s="58"/>
      <c r="I902" s="21"/>
      <c r="J902" s="22"/>
    </row>
    <row r="903" spans="1:10" ht="13.2" x14ac:dyDescent="0.25">
      <c r="A903" s="17"/>
      <c r="B903" s="17"/>
      <c r="D903" s="18"/>
      <c r="E903" s="18"/>
      <c r="F903" s="18"/>
      <c r="G903" s="18"/>
      <c r="H903" s="58"/>
      <c r="I903" s="21"/>
      <c r="J903" s="22"/>
    </row>
    <row r="904" spans="1:10" ht="13.2" x14ac:dyDescent="0.25">
      <c r="A904" s="17"/>
      <c r="B904" s="17"/>
      <c r="D904" s="18"/>
      <c r="E904" s="18"/>
      <c r="F904" s="18"/>
      <c r="G904" s="18"/>
      <c r="H904" s="58"/>
      <c r="I904" s="21"/>
      <c r="J904" s="22"/>
    </row>
    <row r="905" spans="1:10" ht="13.2" x14ac:dyDescent="0.25">
      <c r="A905" s="17"/>
      <c r="B905" s="17"/>
      <c r="D905" s="18"/>
      <c r="E905" s="18"/>
      <c r="F905" s="18"/>
      <c r="G905" s="18"/>
      <c r="H905" s="58"/>
      <c r="I905" s="21"/>
      <c r="J905" s="22"/>
    </row>
    <row r="906" spans="1:10" ht="13.2" x14ac:dyDescent="0.25">
      <c r="A906" s="17"/>
      <c r="B906" s="17"/>
      <c r="D906" s="18"/>
      <c r="E906" s="18"/>
      <c r="F906" s="18"/>
      <c r="G906" s="18"/>
      <c r="H906" s="58"/>
      <c r="I906" s="21"/>
      <c r="J906" s="22"/>
    </row>
    <row r="907" spans="1:10" ht="13.2" x14ac:dyDescent="0.25">
      <c r="A907" s="17"/>
      <c r="B907" s="17"/>
      <c r="D907" s="18"/>
      <c r="E907" s="18"/>
      <c r="F907" s="18"/>
      <c r="G907" s="18"/>
      <c r="H907" s="58"/>
      <c r="I907" s="21"/>
      <c r="J907" s="22"/>
    </row>
    <row r="908" spans="1:10" ht="13.2" x14ac:dyDescent="0.25">
      <c r="A908" s="17"/>
      <c r="B908" s="17"/>
      <c r="D908" s="18"/>
      <c r="E908" s="18"/>
      <c r="F908" s="18"/>
      <c r="G908" s="18"/>
      <c r="H908" s="58"/>
      <c r="I908" s="21"/>
      <c r="J908" s="22"/>
    </row>
    <row r="909" spans="1:10" ht="13.2" x14ac:dyDescent="0.25">
      <c r="A909" s="17"/>
      <c r="B909" s="17"/>
      <c r="D909" s="18"/>
      <c r="E909" s="18"/>
      <c r="F909" s="18"/>
      <c r="G909" s="18"/>
      <c r="H909" s="58"/>
      <c r="I909" s="21"/>
      <c r="J909" s="22"/>
    </row>
    <row r="910" spans="1:10" ht="13.2" x14ac:dyDescent="0.25">
      <c r="A910" s="17"/>
      <c r="B910" s="17"/>
      <c r="D910" s="18"/>
      <c r="E910" s="18"/>
      <c r="F910" s="18"/>
      <c r="G910" s="18"/>
      <c r="H910" s="58"/>
      <c r="I910" s="21"/>
      <c r="J910" s="22"/>
    </row>
    <row r="911" spans="1:10" ht="13.2" x14ac:dyDescent="0.25">
      <c r="A911" s="17"/>
      <c r="B911" s="17"/>
      <c r="D911" s="18"/>
      <c r="E911" s="18"/>
      <c r="F911" s="18"/>
      <c r="G911" s="18"/>
      <c r="H911" s="58"/>
      <c r="I911" s="21"/>
      <c r="J911" s="22"/>
    </row>
    <row r="912" spans="1:10" ht="13.2" x14ac:dyDescent="0.25">
      <c r="A912" s="17"/>
      <c r="B912" s="17"/>
      <c r="D912" s="18"/>
      <c r="E912" s="18"/>
      <c r="F912" s="18"/>
      <c r="G912" s="18"/>
      <c r="H912" s="58"/>
      <c r="I912" s="21"/>
      <c r="J912" s="22"/>
    </row>
    <row r="913" spans="1:10" ht="13.2" x14ac:dyDescent="0.25">
      <c r="A913" s="17"/>
      <c r="B913" s="17"/>
      <c r="D913" s="18"/>
      <c r="E913" s="18"/>
      <c r="F913" s="18"/>
      <c r="G913" s="18"/>
      <c r="H913" s="58"/>
      <c r="I913" s="21"/>
      <c r="J913" s="22"/>
    </row>
    <row r="914" spans="1:10" ht="13.2" x14ac:dyDescent="0.25">
      <c r="A914" s="17"/>
      <c r="B914" s="17"/>
      <c r="D914" s="18"/>
      <c r="E914" s="18"/>
      <c r="F914" s="18"/>
      <c r="G914" s="18"/>
      <c r="H914" s="58"/>
      <c r="I914" s="21"/>
      <c r="J914" s="22"/>
    </row>
    <row r="915" spans="1:10" ht="13.2" x14ac:dyDescent="0.25">
      <c r="A915" s="17"/>
      <c r="B915" s="17"/>
      <c r="D915" s="18"/>
      <c r="E915" s="18"/>
      <c r="F915" s="18"/>
      <c r="G915" s="18"/>
      <c r="H915" s="58"/>
      <c r="I915" s="21"/>
      <c r="J915" s="22"/>
    </row>
    <row r="916" spans="1:10" ht="13.2" x14ac:dyDescent="0.25">
      <c r="A916" s="17"/>
      <c r="B916" s="17"/>
      <c r="D916" s="18"/>
      <c r="E916" s="18"/>
      <c r="F916" s="18"/>
      <c r="G916" s="18"/>
      <c r="H916" s="58"/>
      <c r="I916" s="21"/>
      <c r="J916" s="22"/>
    </row>
    <row r="917" spans="1:10" ht="13.2" x14ac:dyDescent="0.25">
      <c r="A917" s="17"/>
      <c r="B917" s="17"/>
      <c r="D917" s="18"/>
      <c r="E917" s="18"/>
      <c r="F917" s="18"/>
      <c r="G917" s="18"/>
      <c r="H917" s="58"/>
      <c r="I917" s="21"/>
      <c r="J917" s="22"/>
    </row>
    <row r="918" spans="1:10" ht="13.2" x14ac:dyDescent="0.25">
      <c r="A918" s="17"/>
      <c r="B918" s="17"/>
      <c r="D918" s="18"/>
      <c r="E918" s="18"/>
      <c r="F918" s="18"/>
      <c r="G918" s="18"/>
      <c r="H918" s="58"/>
      <c r="I918" s="21"/>
      <c r="J918" s="22"/>
    </row>
    <row r="919" spans="1:10" ht="13.2" x14ac:dyDescent="0.25">
      <c r="A919" s="17"/>
      <c r="B919" s="17"/>
      <c r="D919" s="18"/>
      <c r="E919" s="18"/>
      <c r="F919" s="18"/>
      <c r="G919" s="18"/>
      <c r="H919" s="58"/>
      <c r="I919" s="21"/>
      <c r="J919" s="22"/>
    </row>
    <row r="920" spans="1:10" ht="13.2" x14ac:dyDescent="0.25">
      <c r="A920" s="17"/>
      <c r="B920" s="17"/>
      <c r="D920" s="18"/>
      <c r="E920" s="18"/>
      <c r="F920" s="18"/>
      <c r="G920" s="18"/>
      <c r="H920" s="58"/>
      <c r="I920" s="21"/>
      <c r="J920" s="22"/>
    </row>
    <row r="921" spans="1:10" ht="13.2" x14ac:dyDescent="0.25">
      <c r="A921" s="17"/>
      <c r="B921" s="17"/>
      <c r="D921" s="18"/>
      <c r="E921" s="18"/>
      <c r="F921" s="18"/>
      <c r="G921" s="18"/>
      <c r="H921" s="58"/>
      <c r="I921" s="21"/>
      <c r="J921" s="22"/>
    </row>
    <row r="922" spans="1:10" ht="13.2" x14ac:dyDescent="0.25">
      <c r="A922" s="17"/>
      <c r="B922" s="17"/>
      <c r="D922" s="18"/>
      <c r="E922" s="18"/>
      <c r="F922" s="18"/>
      <c r="G922" s="18"/>
      <c r="H922" s="58"/>
      <c r="I922" s="21"/>
      <c r="J922" s="22"/>
    </row>
    <row r="923" spans="1:10" ht="13.2" x14ac:dyDescent="0.25">
      <c r="A923" s="17"/>
      <c r="B923" s="17"/>
      <c r="D923" s="18"/>
      <c r="E923" s="18"/>
      <c r="F923" s="18"/>
      <c r="G923" s="18"/>
      <c r="H923" s="58"/>
      <c r="I923" s="21"/>
      <c r="J923" s="22"/>
    </row>
    <row r="924" spans="1:10" ht="13.2" x14ac:dyDescent="0.25">
      <c r="A924" s="17"/>
      <c r="B924" s="17"/>
      <c r="D924" s="18"/>
      <c r="E924" s="18"/>
      <c r="F924" s="18"/>
      <c r="G924" s="18"/>
      <c r="H924" s="58"/>
      <c r="I924" s="21"/>
      <c r="J924" s="22"/>
    </row>
    <row r="925" spans="1:10" ht="13.2" x14ac:dyDescent="0.25">
      <c r="A925" s="17"/>
      <c r="B925" s="17"/>
      <c r="D925" s="18"/>
      <c r="E925" s="18"/>
      <c r="F925" s="18"/>
      <c r="G925" s="18"/>
      <c r="H925" s="58"/>
      <c r="I925" s="21"/>
      <c r="J925" s="22"/>
    </row>
    <row r="926" spans="1:10" ht="13.2" x14ac:dyDescent="0.25">
      <c r="A926" s="17"/>
      <c r="B926" s="17"/>
      <c r="D926" s="18"/>
      <c r="E926" s="18"/>
      <c r="F926" s="18"/>
      <c r="G926" s="18"/>
      <c r="H926" s="58"/>
      <c r="I926" s="21"/>
      <c r="J926" s="22"/>
    </row>
    <row r="927" spans="1:10" ht="13.2" x14ac:dyDescent="0.25">
      <c r="A927" s="17"/>
      <c r="B927" s="17"/>
      <c r="D927" s="18"/>
      <c r="E927" s="18"/>
      <c r="F927" s="18"/>
      <c r="G927" s="18"/>
      <c r="H927" s="58"/>
      <c r="I927" s="21"/>
      <c r="J927" s="22"/>
    </row>
    <row r="928" spans="1:10" ht="13.2" x14ac:dyDescent="0.25">
      <c r="A928" s="17"/>
      <c r="B928" s="17"/>
      <c r="D928" s="18"/>
      <c r="E928" s="18"/>
      <c r="F928" s="18"/>
      <c r="G928" s="18"/>
      <c r="H928" s="58"/>
      <c r="I928" s="21"/>
      <c r="J928" s="22"/>
    </row>
    <row r="929" spans="1:10" ht="13.2" x14ac:dyDescent="0.25">
      <c r="A929" s="17"/>
      <c r="B929" s="17"/>
      <c r="D929" s="18"/>
      <c r="E929" s="18"/>
      <c r="F929" s="18"/>
      <c r="G929" s="18"/>
      <c r="H929" s="58"/>
      <c r="I929" s="21"/>
      <c r="J929" s="22"/>
    </row>
    <row r="930" spans="1:10" ht="13.2" x14ac:dyDescent="0.25">
      <c r="A930" s="17"/>
      <c r="B930" s="17"/>
      <c r="D930" s="18"/>
      <c r="E930" s="18"/>
      <c r="F930" s="18"/>
      <c r="G930" s="18"/>
      <c r="H930" s="58"/>
      <c r="I930" s="21"/>
      <c r="J930" s="22"/>
    </row>
    <row r="931" spans="1:10" ht="13.2" x14ac:dyDescent="0.25">
      <c r="A931" s="17"/>
      <c r="B931" s="17"/>
      <c r="D931" s="18"/>
      <c r="E931" s="18"/>
      <c r="F931" s="18"/>
      <c r="G931" s="18"/>
      <c r="H931" s="58"/>
      <c r="I931" s="21"/>
      <c r="J931" s="22"/>
    </row>
    <row r="932" spans="1:10" ht="13.2" x14ac:dyDescent="0.25">
      <c r="A932" s="17"/>
      <c r="B932" s="17"/>
      <c r="D932" s="18"/>
      <c r="E932" s="18"/>
      <c r="F932" s="18"/>
      <c r="G932" s="18"/>
      <c r="H932" s="58"/>
      <c r="I932" s="21"/>
      <c r="J932" s="22"/>
    </row>
    <row r="933" spans="1:10" ht="13.2" x14ac:dyDescent="0.25">
      <c r="A933" s="17"/>
      <c r="B933" s="17"/>
      <c r="D933" s="18"/>
      <c r="E933" s="18"/>
      <c r="F933" s="18"/>
      <c r="G933" s="18"/>
      <c r="H933" s="58"/>
      <c r="I933" s="21"/>
      <c r="J933" s="22"/>
    </row>
    <row r="934" spans="1:10" ht="13.2" x14ac:dyDescent="0.25">
      <c r="A934" s="17"/>
      <c r="B934" s="17"/>
      <c r="D934" s="18"/>
      <c r="E934" s="18"/>
      <c r="F934" s="18"/>
      <c r="G934" s="18"/>
      <c r="H934" s="58"/>
      <c r="I934" s="21"/>
      <c r="J934" s="22"/>
    </row>
    <row r="935" spans="1:10" ht="13.2" x14ac:dyDescent="0.25">
      <c r="A935" s="17"/>
      <c r="B935" s="17"/>
      <c r="D935" s="18"/>
      <c r="E935" s="18"/>
      <c r="F935" s="18"/>
      <c r="G935" s="18"/>
      <c r="H935" s="58"/>
      <c r="I935" s="21"/>
      <c r="J935" s="22"/>
    </row>
    <row r="936" spans="1:10" ht="13.2" x14ac:dyDescent="0.25">
      <c r="A936" s="17"/>
      <c r="B936" s="17"/>
      <c r="D936" s="18"/>
      <c r="E936" s="18"/>
      <c r="F936" s="18"/>
      <c r="G936" s="18"/>
      <c r="H936" s="58"/>
      <c r="I936" s="21"/>
      <c r="J936" s="22"/>
    </row>
    <row r="937" spans="1:10" ht="13.2" x14ac:dyDescent="0.25">
      <c r="A937" s="17"/>
      <c r="B937" s="17"/>
      <c r="D937" s="18"/>
      <c r="E937" s="18"/>
      <c r="F937" s="18"/>
      <c r="G937" s="18"/>
      <c r="H937" s="58"/>
      <c r="I937" s="21"/>
      <c r="J937" s="22"/>
    </row>
    <row r="938" spans="1:10" ht="13.2" x14ac:dyDescent="0.25">
      <c r="A938" s="17"/>
      <c r="B938" s="17"/>
      <c r="D938" s="18"/>
      <c r="E938" s="18"/>
      <c r="F938" s="18"/>
      <c r="G938" s="18"/>
      <c r="H938" s="58"/>
      <c r="I938" s="21"/>
      <c r="J938" s="22"/>
    </row>
    <row r="939" spans="1:10" ht="13.2" x14ac:dyDescent="0.25">
      <c r="A939" s="17"/>
      <c r="B939" s="17"/>
      <c r="D939" s="18"/>
      <c r="E939" s="18"/>
      <c r="F939" s="18"/>
      <c r="G939" s="18"/>
      <c r="H939" s="58"/>
      <c r="I939" s="21"/>
      <c r="J939" s="22"/>
    </row>
    <row r="940" spans="1:10" ht="13.2" x14ac:dyDescent="0.25">
      <c r="A940" s="17"/>
      <c r="B940" s="17"/>
      <c r="D940" s="18"/>
      <c r="E940" s="18"/>
      <c r="F940" s="18"/>
      <c r="G940" s="18"/>
      <c r="H940" s="58"/>
      <c r="I940" s="21"/>
      <c r="J940" s="22"/>
    </row>
    <row r="941" spans="1:10" ht="13.2" x14ac:dyDescent="0.25">
      <c r="A941" s="17"/>
      <c r="B941" s="17"/>
      <c r="D941" s="18"/>
      <c r="E941" s="18"/>
      <c r="F941" s="18"/>
      <c r="G941" s="18"/>
      <c r="H941" s="58"/>
      <c r="I941" s="21"/>
      <c r="J941" s="22"/>
    </row>
    <row r="942" spans="1:10" ht="13.2" x14ac:dyDescent="0.25">
      <c r="A942" s="17"/>
      <c r="B942" s="17"/>
      <c r="D942" s="18"/>
      <c r="E942" s="18"/>
      <c r="F942" s="18"/>
      <c r="G942" s="18"/>
      <c r="H942" s="58"/>
      <c r="I942" s="21"/>
      <c r="J942" s="22"/>
    </row>
    <row r="943" spans="1:10" ht="13.2" x14ac:dyDescent="0.25">
      <c r="A943" s="17"/>
      <c r="B943" s="17"/>
      <c r="D943" s="18"/>
      <c r="E943" s="18"/>
      <c r="F943" s="18"/>
      <c r="G943" s="18"/>
      <c r="H943" s="58"/>
      <c r="I943" s="21"/>
      <c r="J943" s="22"/>
    </row>
    <row r="944" spans="1:10" ht="13.2" x14ac:dyDescent="0.25">
      <c r="A944" s="17"/>
      <c r="B944" s="17"/>
      <c r="D944" s="18"/>
      <c r="E944" s="18"/>
      <c r="F944" s="18"/>
      <c r="G944" s="18"/>
      <c r="H944" s="58"/>
      <c r="I944" s="21"/>
      <c r="J944" s="22"/>
    </row>
    <row r="945" spans="1:10" ht="13.2" x14ac:dyDescent="0.25">
      <c r="A945" s="17"/>
      <c r="B945" s="17"/>
      <c r="D945" s="18"/>
      <c r="E945" s="18"/>
      <c r="F945" s="18"/>
      <c r="G945" s="18"/>
      <c r="H945" s="58"/>
      <c r="I945" s="21"/>
      <c r="J945" s="22"/>
    </row>
    <row r="946" spans="1:10" ht="13.2" x14ac:dyDescent="0.25">
      <c r="A946" s="17"/>
      <c r="B946" s="17"/>
      <c r="D946" s="18"/>
      <c r="E946" s="18"/>
      <c r="F946" s="18"/>
      <c r="G946" s="18"/>
      <c r="H946" s="58"/>
      <c r="I946" s="21"/>
      <c r="J946" s="22"/>
    </row>
    <row r="947" spans="1:10" ht="13.2" x14ac:dyDescent="0.25">
      <c r="A947" s="17"/>
      <c r="B947" s="17"/>
      <c r="D947" s="18"/>
      <c r="E947" s="18"/>
      <c r="F947" s="18"/>
      <c r="G947" s="18"/>
      <c r="H947" s="58"/>
      <c r="I947" s="21"/>
      <c r="J947" s="22"/>
    </row>
    <row r="948" spans="1:10" ht="13.2" x14ac:dyDescent="0.25">
      <c r="A948" s="17"/>
      <c r="B948" s="17"/>
      <c r="D948" s="18"/>
      <c r="E948" s="18"/>
      <c r="F948" s="18"/>
      <c r="G948" s="18"/>
      <c r="H948" s="58"/>
      <c r="I948" s="21"/>
      <c r="J948" s="22"/>
    </row>
    <row r="949" spans="1:10" ht="13.2" x14ac:dyDescent="0.25">
      <c r="A949" s="17"/>
      <c r="B949" s="17"/>
      <c r="D949" s="18"/>
      <c r="E949" s="18"/>
      <c r="F949" s="18"/>
      <c r="G949" s="18"/>
      <c r="H949" s="58"/>
      <c r="I949" s="21"/>
      <c r="J949" s="22"/>
    </row>
    <row r="950" spans="1:10" ht="13.2" x14ac:dyDescent="0.25">
      <c r="A950" s="17"/>
      <c r="B950" s="17"/>
      <c r="D950" s="18"/>
      <c r="E950" s="18"/>
      <c r="F950" s="18"/>
      <c r="G950" s="18"/>
      <c r="H950" s="58"/>
      <c r="I950" s="21"/>
      <c r="J950" s="22"/>
    </row>
    <row r="951" spans="1:10" ht="13.2" x14ac:dyDescent="0.25">
      <c r="A951" s="17"/>
      <c r="B951" s="17"/>
      <c r="D951" s="18"/>
      <c r="E951" s="18"/>
      <c r="F951" s="18"/>
      <c r="G951" s="18"/>
      <c r="H951" s="58"/>
      <c r="I951" s="21"/>
      <c r="J951" s="22"/>
    </row>
    <row r="952" spans="1:10" ht="13.2" x14ac:dyDescent="0.25">
      <c r="A952" s="17"/>
      <c r="B952" s="17"/>
      <c r="D952" s="18"/>
      <c r="E952" s="18"/>
      <c r="F952" s="18"/>
      <c r="G952" s="18"/>
      <c r="H952" s="58"/>
      <c r="I952" s="21"/>
      <c r="J952" s="22"/>
    </row>
    <row r="953" spans="1:10" ht="13.2" x14ac:dyDescent="0.25">
      <c r="A953" s="17"/>
      <c r="B953" s="17"/>
      <c r="D953" s="18"/>
      <c r="E953" s="18"/>
      <c r="F953" s="18"/>
      <c r="G953" s="18"/>
      <c r="H953" s="58"/>
      <c r="I953" s="21"/>
      <c r="J953" s="22"/>
    </row>
    <row r="954" spans="1:10" ht="13.2" x14ac:dyDescent="0.25">
      <c r="A954" s="17"/>
      <c r="B954" s="17"/>
      <c r="D954" s="18"/>
      <c r="E954" s="18"/>
      <c r="F954" s="18"/>
      <c r="G954" s="18"/>
      <c r="H954" s="58"/>
      <c r="I954" s="21"/>
      <c r="J954" s="22"/>
    </row>
    <row r="955" spans="1:10" ht="13.2" x14ac:dyDescent="0.25">
      <c r="A955" s="17"/>
      <c r="B955" s="17"/>
      <c r="D955" s="18"/>
      <c r="E955" s="18"/>
      <c r="F955" s="18"/>
      <c r="G955" s="18"/>
      <c r="H955" s="58"/>
      <c r="I955" s="21"/>
      <c r="J955" s="22"/>
    </row>
    <row r="956" spans="1:10" ht="13.2" x14ac:dyDescent="0.25">
      <c r="A956" s="17"/>
      <c r="B956" s="17"/>
      <c r="D956" s="18"/>
      <c r="E956" s="18"/>
      <c r="F956" s="18"/>
      <c r="G956" s="18"/>
      <c r="H956" s="58"/>
      <c r="I956" s="21"/>
      <c r="J956" s="22"/>
    </row>
    <row r="957" spans="1:10" ht="13.2" x14ac:dyDescent="0.25">
      <c r="A957" s="17"/>
      <c r="B957" s="17"/>
      <c r="D957" s="18"/>
      <c r="E957" s="18"/>
      <c r="F957" s="18"/>
      <c r="G957" s="18"/>
      <c r="H957" s="58"/>
      <c r="I957" s="21"/>
      <c r="J957" s="22"/>
    </row>
    <row r="958" spans="1:10" ht="13.2" x14ac:dyDescent="0.25">
      <c r="A958" s="17"/>
      <c r="B958" s="17"/>
      <c r="D958" s="18"/>
      <c r="E958" s="18"/>
      <c r="F958" s="18"/>
      <c r="G958" s="18"/>
      <c r="H958" s="58"/>
      <c r="I958" s="21"/>
      <c r="J958" s="22"/>
    </row>
    <row r="959" spans="1:10" ht="13.2" x14ac:dyDescent="0.25">
      <c r="A959" s="17"/>
      <c r="B959" s="17"/>
      <c r="D959" s="18"/>
      <c r="E959" s="18"/>
      <c r="F959" s="18"/>
      <c r="G959" s="18"/>
      <c r="H959" s="58"/>
      <c r="I959" s="21"/>
      <c r="J959" s="22"/>
    </row>
    <row r="960" spans="1:10" ht="13.2" x14ac:dyDescent="0.25">
      <c r="A960" s="17"/>
      <c r="B960" s="17"/>
      <c r="D960" s="18"/>
      <c r="E960" s="18"/>
      <c r="F960" s="18"/>
      <c r="G960" s="18"/>
      <c r="H960" s="58"/>
      <c r="I960" s="21"/>
      <c r="J960" s="22"/>
    </row>
    <row r="961" spans="1:10" ht="13.2" x14ac:dyDescent="0.25">
      <c r="A961" s="17"/>
      <c r="B961" s="17"/>
      <c r="D961" s="18"/>
      <c r="E961" s="18"/>
      <c r="F961" s="18"/>
      <c r="G961" s="18"/>
      <c r="H961" s="58"/>
      <c r="I961" s="21"/>
      <c r="J961" s="22"/>
    </row>
    <row r="962" spans="1:10" ht="13.2" x14ac:dyDescent="0.25">
      <c r="A962" s="17"/>
      <c r="B962" s="17"/>
      <c r="D962" s="18"/>
      <c r="E962" s="18"/>
      <c r="F962" s="18"/>
      <c r="G962" s="18"/>
      <c r="H962" s="58"/>
      <c r="I962" s="21"/>
      <c r="J962" s="22"/>
    </row>
    <row r="963" spans="1:10" ht="13.2" x14ac:dyDescent="0.25">
      <c r="A963" s="17"/>
      <c r="B963" s="17"/>
      <c r="D963" s="18"/>
      <c r="E963" s="18"/>
      <c r="F963" s="18"/>
      <c r="G963" s="18"/>
      <c r="H963" s="58"/>
      <c r="I963" s="21"/>
      <c r="J963" s="22"/>
    </row>
    <row r="964" spans="1:10" ht="13.2" x14ac:dyDescent="0.25">
      <c r="A964" s="17"/>
      <c r="B964" s="17"/>
      <c r="D964" s="18"/>
      <c r="E964" s="18"/>
      <c r="F964" s="18"/>
      <c r="G964" s="18"/>
      <c r="H964" s="58"/>
      <c r="I964" s="21"/>
      <c r="J964" s="22"/>
    </row>
    <row r="965" spans="1:10" ht="13.2" x14ac:dyDescent="0.25">
      <c r="A965" s="17"/>
      <c r="B965" s="17"/>
      <c r="D965" s="18"/>
      <c r="E965" s="18"/>
      <c r="F965" s="18"/>
      <c r="G965" s="18"/>
      <c r="H965" s="58"/>
      <c r="I965" s="21"/>
      <c r="J965" s="22"/>
    </row>
    <row r="966" spans="1:10" ht="13.2" x14ac:dyDescent="0.25">
      <c r="A966" s="17"/>
      <c r="B966" s="17"/>
      <c r="D966" s="18"/>
      <c r="E966" s="18"/>
      <c r="F966" s="18"/>
      <c r="G966" s="18"/>
      <c r="H966" s="58"/>
      <c r="I966" s="21"/>
      <c r="J966" s="22"/>
    </row>
    <row r="967" spans="1:10" ht="13.2" x14ac:dyDescent="0.25">
      <c r="A967" s="17"/>
      <c r="B967" s="17"/>
      <c r="D967" s="18"/>
      <c r="E967" s="18"/>
      <c r="F967" s="18"/>
      <c r="G967" s="18"/>
      <c r="H967" s="58"/>
      <c r="I967" s="21"/>
      <c r="J967" s="22"/>
    </row>
    <row r="968" spans="1:10" ht="13.2" x14ac:dyDescent="0.25">
      <c r="A968" s="17"/>
      <c r="B968" s="17"/>
      <c r="D968" s="18"/>
      <c r="E968" s="18"/>
      <c r="F968" s="18"/>
      <c r="G968" s="18"/>
      <c r="H968" s="58"/>
      <c r="I968" s="21"/>
      <c r="J968" s="22"/>
    </row>
    <row r="969" spans="1:10" ht="13.2" x14ac:dyDescent="0.25">
      <c r="A969" s="17"/>
      <c r="B969" s="17"/>
      <c r="D969" s="18"/>
      <c r="E969" s="18"/>
      <c r="F969" s="18"/>
      <c r="G969" s="18"/>
      <c r="H969" s="58"/>
      <c r="I969" s="21"/>
      <c r="J969" s="22"/>
    </row>
    <row r="970" spans="1:10" ht="13.2" x14ac:dyDescent="0.25">
      <c r="A970" s="17"/>
      <c r="B970" s="17"/>
      <c r="D970" s="18"/>
      <c r="E970" s="18"/>
      <c r="F970" s="18"/>
      <c r="G970" s="18"/>
      <c r="H970" s="58"/>
      <c r="I970" s="21"/>
      <c r="J970" s="22"/>
    </row>
    <row r="971" spans="1:10" ht="13.2" x14ac:dyDescent="0.25">
      <c r="A971" s="17"/>
      <c r="B971" s="17"/>
      <c r="D971" s="18"/>
      <c r="E971" s="18"/>
      <c r="F971" s="18"/>
      <c r="G971" s="18"/>
      <c r="H971" s="58"/>
      <c r="I971" s="21"/>
      <c r="J971" s="22"/>
    </row>
    <row r="972" spans="1:10" ht="13.2" x14ac:dyDescent="0.25">
      <c r="A972" s="17"/>
      <c r="B972" s="17"/>
      <c r="D972" s="18"/>
      <c r="E972" s="18"/>
      <c r="F972" s="18"/>
      <c r="G972" s="18"/>
      <c r="H972" s="58"/>
      <c r="I972" s="21"/>
      <c r="J972" s="22"/>
    </row>
    <row r="973" spans="1:10" ht="13.2" x14ac:dyDescent="0.25">
      <c r="A973" s="17"/>
      <c r="B973" s="17"/>
      <c r="D973" s="18"/>
      <c r="E973" s="18"/>
      <c r="F973" s="18"/>
      <c r="G973" s="18"/>
      <c r="H973" s="58"/>
      <c r="I973" s="21"/>
      <c r="J973" s="22"/>
    </row>
    <row r="974" spans="1:10" ht="13.2" x14ac:dyDescent="0.25">
      <c r="A974" s="17"/>
      <c r="B974" s="17"/>
      <c r="D974" s="18"/>
      <c r="E974" s="18"/>
      <c r="F974" s="18"/>
      <c r="G974" s="18"/>
      <c r="H974" s="58"/>
      <c r="I974" s="21"/>
      <c r="J974" s="22"/>
    </row>
    <row r="975" spans="1:10" ht="13.2" x14ac:dyDescent="0.25">
      <c r="A975" s="17"/>
      <c r="B975" s="17"/>
      <c r="D975" s="18"/>
      <c r="E975" s="18"/>
      <c r="F975" s="18"/>
      <c r="G975" s="18"/>
      <c r="H975" s="58"/>
      <c r="I975" s="21"/>
      <c r="J975" s="22"/>
    </row>
    <row r="976" spans="1:10" ht="13.2" x14ac:dyDescent="0.25">
      <c r="A976" s="17"/>
      <c r="B976" s="17"/>
      <c r="D976" s="18"/>
      <c r="E976" s="18"/>
      <c r="F976" s="18"/>
      <c r="G976" s="18"/>
      <c r="H976" s="58"/>
      <c r="I976" s="21"/>
      <c r="J976" s="22"/>
    </row>
    <row r="977" spans="1:10" ht="13.2" x14ac:dyDescent="0.25">
      <c r="A977" s="17"/>
      <c r="B977" s="17"/>
      <c r="D977" s="18"/>
      <c r="E977" s="18"/>
      <c r="F977" s="18"/>
      <c r="G977" s="18"/>
      <c r="H977" s="58"/>
      <c r="I977" s="21"/>
      <c r="J977" s="22"/>
    </row>
    <row r="978" spans="1:10" ht="13.2" x14ac:dyDescent="0.25">
      <c r="A978" s="17"/>
      <c r="B978" s="17"/>
      <c r="D978" s="18"/>
      <c r="E978" s="18"/>
      <c r="F978" s="18"/>
      <c r="G978" s="18"/>
      <c r="H978" s="58"/>
      <c r="I978" s="21"/>
      <c r="J978" s="22"/>
    </row>
    <row r="979" spans="1:10" ht="13.2" x14ac:dyDescent="0.25">
      <c r="A979" s="17"/>
      <c r="B979" s="17"/>
      <c r="D979" s="18"/>
      <c r="E979" s="18"/>
      <c r="F979" s="18"/>
      <c r="G979" s="18"/>
      <c r="H979" s="58"/>
      <c r="I979" s="21"/>
      <c r="J979" s="22"/>
    </row>
    <row r="980" spans="1:10" ht="13.2" x14ac:dyDescent="0.25">
      <c r="A980" s="17"/>
      <c r="B980" s="17"/>
      <c r="D980" s="18"/>
      <c r="E980" s="18"/>
      <c r="F980" s="18"/>
      <c r="G980" s="18"/>
      <c r="H980" s="58"/>
      <c r="I980" s="21"/>
      <c r="J980" s="22"/>
    </row>
    <row r="981" spans="1:10" ht="13.2" x14ac:dyDescent="0.25">
      <c r="A981" s="17"/>
      <c r="B981" s="17"/>
      <c r="D981" s="18"/>
      <c r="E981" s="18"/>
      <c r="F981" s="18"/>
      <c r="G981" s="18"/>
      <c r="H981" s="58"/>
      <c r="I981" s="21"/>
      <c r="J981" s="22"/>
    </row>
    <row r="982" spans="1:10" ht="13.2" x14ac:dyDescent="0.25">
      <c r="A982" s="17"/>
      <c r="B982" s="17"/>
      <c r="D982" s="18"/>
      <c r="E982" s="18"/>
      <c r="F982" s="18"/>
      <c r="G982" s="18"/>
      <c r="H982" s="58"/>
      <c r="I982" s="21"/>
      <c r="J982" s="22"/>
    </row>
    <row r="983" spans="1:10" ht="13.2" x14ac:dyDescent="0.25">
      <c r="A983" s="17"/>
      <c r="B983" s="17"/>
      <c r="D983" s="18"/>
      <c r="E983" s="18"/>
      <c r="F983" s="18"/>
      <c r="G983" s="18"/>
      <c r="H983" s="58"/>
      <c r="I983" s="21"/>
      <c r="J983" s="22"/>
    </row>
    <row r="984" spans="1:10" ht="13.2" x14ac:dyDescent="0.25">
      <c r="A984" s="17"/>
      <c r="B984" s="17"/>
      <c r="D984" s="18"/>
      <c r="E984" s="18"/>
      <c r="F984" s="18"/>
      <c r="G984" s="18"/>
      <c r="H984" s="58"/>
      <c r="I984" s="21"/>
      <c r="J984" s="22"/>
    </row>
    <row r="985" spans="1:10" ht="13.2" x14ac:dyDescent="0.25">
      <c r="A985" s="17"/>
      <c r="B985" s="17"/>
      <c r="D985" s="18"/>
      <c r="E985" s="18"/>
      <c r="F985" s="18"/>
      <c r="G985" s="18"/>
      <c r="H985" s="58"/>
      <c r="I985" s="21"/>
      <c r="J985" s="22"/>
    </row>
    <row r="986" spans="1:10" ht="13.2" x14ac:dyDescent="0.25">
      <c r="A986" s="17"/>
      <c r="B986" s="17"/>
      <c r="D986" s="18"/>
      <c r="E986" s="18"/>
      <c r="F986" s="18"/>
      <c r="G986" s="18"/>
      <c r="H986" s="58"/>
      <c r="I986" s="21"/>
      <c r="J986" s="22"/>
    </row>
    <row r="987" spans="1:10" ht="13.2" x14ac:dyDescent="0.25">
      <c r="A987" s="17"/>
      <c r="B987" s="17"/>
      <c r="D987" s="18"/>
      <c r="E987" s="18"/>
      <c r="F987" s="18"/>
      <c r="G987" s="18"/>
      <c r="H987" s="58"/>
      <c r="I987" s="21"/>
      <c r="J987" s="22"/>
    </row>
    <row r="988" spans="1:10" ht="13.2" x14ac:dyDescent="0.25">
      <c r="A988" s="17"/>
      <c r="B988" s="17"/>
      <c r="D988" s="18"/>
      <c r="E988" s="18"/>
      <c r="F988" s="18"/>
      <c r="G988" s="18"/>
      <c r="H988" s="58"/>
      <c r="I988" s="21"/>
      <c r="J988" s="22"/>
    </row>
    <row r="989" spans="1:10" ht="13.2" x14ac:dyDescent="0.25">
      <c r="A989" s="17"/>
      <c r="B989" s="17"/>
      <c r="D989" s="18"/>
      <c r="E989" s="18"/>
      <c r="F989" s="18"/>
      <c r="G989" s="18"/>
      <c r="H989" s="58"/>
      <c r="I989" s="21"/>
      <c r="J989" s="22"/>
    </row>
    <row r="990" spans="1:10" ht="13.2" x14ac:dyDescent="0.25">
      <c r="A990" s="17"/>
      <c r="B990" s="17"/>
      <c r="D990" s="18"/>
      <c r="E990" s="18"/>
      <c r="F990" s="18"/>
      <c r="G990" s="18"/>
      <c r="H990" s="58"/>
      <c r="I990" s="21"/>
      <c r="J990" s="22"/>
    </row>
    <row r="991" spans="1:10" ht="13.2" x14ac:dyDescent="0.25">
      <c r="A991" s="17"/>
      <c r="B991" s="17"/>
      <c r="D991" s="18"/>
      <c r="E991" s="18"/>
      <c r="F991" s="18"/>
      <c r="G991" s="18"/>
      <c r="H991" s="58"/>
      <c r="I991" s="21"/>
      <c r="J991" s="22"/>
    </row>
    <row r="992" spans="1:10" ht="13.2" x14ac:dyDescent="0.25">
      <c r="A992" s="17"/>
      <c r="B992" s="17"/>
      <c r="D992" s="18"/>
      <c r="E992" s="18"/>
      <c r="F992" s="18"/>
      <c r="G992" s="18"/>
      <c r="H992" s="58"/>
      <c r="I992" s="21"/>
      <c r="J992" s="22"/>
    </row>
    <row r="993" spans="1:10" ht="13.2" x14ac:dyDescent="0.25">
      <c r="A993" s="17"/>
      <c r="B993" s="17"/>
      <c r="D993" s="18"/>
      <c r="E993" s="18"/>
      <c r="F993" s="18"/>
      <c r="G993" s="18"/>
      <c r="H993" s="58"/>
      <c r="I993" s="21"/>
      <c r="J993" s="22"/>
    </row>
    <row r="994" spans="1:10" ht="13.2" x14ac:dyDescent="0.25">
      <c r="A994" s="17"/>
      <c r="B994" s="17"/>
      <c r="D994" s="18"/>
      <c r="E994" s="18"/>
      <c r="F994" s="18"/>
      <c r="G994" s="18"/>
      <c r="H994" s="58"/>
      <c r="I994" s="21"/>
      <c r="J994" s="22"/>
    </row>
    <row r="995" spans="1:10" ht="13.2" x14ac:dyDescent="0.25">
      <c r="A995" s="17"/>
      <c r="B995" s="17"/>
      <c r="D995" s="18"/>
      <c r="E995" s="18"/>
      <c r="F995" s="18"/>
      <c r="G995" s="18"/>
      <c r="H995" s="58"/>
      <c r="I995" s="21"/>
      <c r="J995" s="22"/>
    </row>
    <row r="996" spans="1:10" ht="13.2" x14ac:dyDescent="0.25">
      <c r="A996" s="17"/>
      <c r="B996" s="17"/>
      <c r="D996" s="18"/>
      <c r="E996" s="18"/>
      <c r="F996" s="18"/>
      <c r="G996" s="18"/>
      <c r="H996" s="58"/>
      <c r="I996" s="21"/>
      <c r="J996" s="22"/>
    </row>
    <row r="997" spans="1:10" ht="13.2" x14ac:dyDescent="0.25">
      <c r="A997" s="17"/>
      <c r="B997" s="17"/>
      <c r="D997" s="18"/>
      <c r="E997" s="18"/>
      <c r="F997" s="18"/>
      <c r="G997" s="18"/>
      <c r="H997" s="58"/>
      <c r="I997" s="21"/>
      <c r="J997" s="22"/>
    </row>
    <row r="998" spans="1:10" ht="13.2" x14ac:dyDescent="0.25">
      <c r="A998" s="17"/>
      <c r="B998" s="17"/>
      <c r="D998" s="18"/>
      <c r="E998" s="18"/>
      <c r="F998" s="18"/>
      <c r="G998" s="18"/>
      <c r="H998" s="58"/>
      <c r="I998" s="21"/>
      <c r="J998" s="22"/>
    </row>
    <row r="999" spans="1:10" ht="13.2" x14ac:dyDescent="0.25">
      <c r="A999" s="17"/>
      <c r="B999" s="17"/>
      <c r="D999" s="18"/>
      <c r="E999" s="18"/>
      <c r="F999" s="18"/>
      <c r="G999" s="18"/>
      <c r="H999" s="58"/>
      <c r="I999" s="21"/>
      <c r="J999" s="22"/>
    </row>
    <row r="1000" spans="1:10" ht="13.2" x14ac:dyDescent="0.25">
      <c r="A1000" s="17"/>
      <c r="B1000" s="17"/>
      <c r="D1000" s="18"/>
      <c r="E1000" s="18"/>
      <c r="F1000" s="18"/>
      <c r="G1000" s="18"/>
      <c r="H1000" s="58"/>
      <c r="I1000" s="21"/>
      <c r="J1000" s="22"/>
    </row>
    <row r="1001" spans="1:10" ht="13.2" x14ac:dyDescent="0.25">
      <c r="A1001" s="17"/>
      <c r="B1001" s="17"/>
      <c r="D1001" s="18"/>
      <c r="E1001" s="18"/>
      <c r="F1001" s="18"/>
      <c r="G1001" s="18"/>
      <c r="H1001" s="58"/>
      <c r="I1001" s="21"/>
      <c r="J1001" s="22"/>
    </row>
    <row r="1002" spans="1:10" ht="13.2" x14ac:dyDescent="0.25">
      <c r="A1002" s="17"/>
      <c r="B1002" s="17"/>
      <c r="D1002" s="18"/>
      <c r="E1002" s="18"/>
      <c r="F1002" s="18"/>
      <c r="G1002" s="18"/>
      <c r="H1002" s="58"/>
      <c r="I1002" s="21"/>
      <c r="J1002" s="22"/>
    </row>
    <row r="1003" spans="1:10" ht="13.2" x14ac:dyDescent="0.25">
      <c r="A1003" s="17"/>
      <c r="B1003" s="17"/>
      <c r="D1003" s="18"/>
      <c r="E1003" s="18"/>
      <c r="F1003" s="18"/>
      <c r="G1003" s="18"/>
      <c r="H1003" s="58"/>
      <c r="I1003" s="21"/>
      <c r="J1003" s="22"/>
    </row>
    <row r="1004" spans="1:10" ht="13.2" x14ac:dyDescent="0.25">
      <c r="A1004" s="17"/>
      <c r="B1004" s="17"/>
      <c r="D1004" s="18"/>
      <c r="E1004" s="18"/>
      <c r="F1004" s="18"/>
      <c r="G1004" s="18"/>
      <c r="H1004" s="58"/>
      <c r="I1004" s="21"/>
      <c r="J1004" s="22"/>
    </row>
    <row r="1005" spans="1:10" ht="13.2" x14ac:dyDescent="0.25">
      <c r="A1005" s="17"/>
      <c r="B1005" s="17"/>
      <c r="D1005" s="18"/>
      <c r="E1005" s="18"/>
      <c r="F1005" s="18"/>
      <c r="G1005" s="18"/>
      <c r="H1005" s="58"/>
      <c r="I1005" s="21"/>
      <c r="J1005" s="22"/>
    </row>
    <row r="1006" spans="1:10" ht="13.2" x14ac:dyDescent="0.25">
      <c r="A1006" s="17"/>
      <c r="B1006" s="17"/>
      <c r="D1006" s="18"/>
      <c r="E1006" s="18"/>
      <c r="F1006" s="18"/>
      <c r="G1006" s="18"/>
      <c r="H1006" s="58"/>
      <c r="I1006" s="21"/>
      <c r="J1006" s="22"/>
    </row>
    <row r="1007" spans="1:10" ht="13.2" x14ac:dyDescent="0.25">
      <c r="A1007" s="17"/>
      <c r="B1007" s="17"/>
      <c r="D1007" s="18"/>
      <c r="E1007" s="18"/>
      <c r="F1007" s="18"/>
      <c r="G1007" s="18"/>
      <c r="H1007" s="58"/>
      <c r="I1007" s="21"/>
      <c r="J1007" s="22"/>
    </row>
    <row r="1008" spans="1:10" ht="13.2" x14ac:dyDescent="0.25">
      <c r="A1008" s="17"/>
      <c r="B1008" s="17"/>
      <c r="D1008" s="18"/>
      <c r="E1008" s="18"/>
      <c r="F1008" s="18"/>
      <c r="G1008" s="18"/>
      <c r="H1008" s="58"/>
      <c r="I1008" s="21"/>
      <c r="J1008" s="22"/>
    </row>
    <row r="1009" spans="1:10" ht="13.2" x14ac:dyDescent="0.25">
      <c r="A1009" s="17"/>
      <c r="B1009" s="17"/>
      <c r="D1009" s="18"/>
      <c r="E1009" s="18"/>
      <c r="F1009" s="18"/>
      <c r="G1009" s="18"/>
      <c r="H1009" s="58"/>
      <c r="I1009" s="21"/>
      <c r="J1009" s="22"/>
    </row>
    <row r="1010" spans="1:10" ht="13.2" x14ac:dyDescent="0.25">
      <c r="A1010" s="17"/>
      <c r="B1010" s="17"/>
      <c r="D1010" s="18"/>
      <c r="E1010" s="18"/>
      <c r="F1010" s="18"/>
      <c r="G1010" s="18"/>
      <c r="H1010" s="58"/>
      <c r="I1010" s="21"/>
      <c r="J1010" s="22"/>
    </row>
    <row r="1011" spans="1:10" ht="13.2" x14ac:dyDescent="0.25">
      <c r="A1011" s="17"/>
      <c r="B1011" s="17"/>
      <c r="D1011" s="18"/>
      <c r="E1011" s="18"/>
      <c r="F1011" s="18"/>
      <c r="G1011" s="18"/>
      <c r="H1011" s="58"/>
      <c r="I1011" s="21"/>
      <c r="J1011" s="22"/>
    </row>
    <row r="1012" spans="1:10" ht="13.2" x14ac:dyDescent="0.25">
      <c r="A1012" s="17"/>
      <c r="B1012" s="17"/>
      <c r="D1012" s="18"/>
      <c r="E1012" s="18"/>
      <c r="F1012" s="18"/>
      <c r="G1012" s="18"/>
      <c r="H1012" s="58"/>
      <c r="I1012" s="21"/>
      <c r="J1012" s="22"/>
    </row>
    <row r="1013" spans="1:10" ht="13.2" x14ac:dyDescent="0.25">
      <c r="A1013" s="17"/>
      <c r="B1013" s="17"/>
      <c r="D1013" s="18"/>
      <c r="E1013" s="18"/>
      <c r="F1013" s="18"/>
      <c r="G1013" s="18"/>
      <c r="H1013" s="58"/>
      <c r="I1013" s="21"/>
      <c r="J1013" s="22"/>
    </row>
    <row r="1014" spans="1:10" ht="13.2" x14ac:dyDescent="0.25">
      <c r="A1014" s="17"/>
      <c r="B1014" s="17"/>
      <c r="D1014" s="18"/>
      <c r="E1014" s="18"/>
      <c r="F1014" s="18"/>
      <c r="G1014" s="18"/>
      <c r="H1014" s="58"/>
      <c r="I1014" s="21"/>
      <c r="J1014" s="22"/>
    </row>
    <row r="1015" spans="1:10" ht="13.2" x14ac:dyDescent="0.25">
      <c r="A1015" s="17"/>
      <c r="B1015" s="17"/>
      <c r="D1015" s="18"/>
      <c r="E1015" s="18"/>
      <c r="F1015" s="18"/>
      <c r="G1015" s="18"/>
      <c r="H1015" s="58"/>
      <c r="I1015" s="21"/>
      <c r="J1015" s="22"/>
    </row>
    <row r="1016" spans="1:10" ht="13.2" x14ac:dyDescent="0.25">
      <c r="A1016" s="17"/>
      <c r="B1016" s="17"/>
      <c r="D1016" s="18"/>
      <c r="E1016" s="18"/>
      <c r="F1016" s="18"/>
      <c r="G1016" s="18"/>
      <c r="H1016" s="58"/>
      <c r="I1016" s="21"/>
      <c r="J1016" s="22"/>
    </row>
    <row r="1017" spans="1:10" ht="13.2" x14ac:dyDescent="0.25">
      <c r="A1017" s="17"/>
      <c r="B1017" s="17"/>
      <c r="D1017" s="18"/>
      <c r="E1017" s="18"/>
      <c r="F1017" s="18"/>
      <c r="G1017" s="18"/>
      <c r="H1017" s="58"/>
      <c r="I1017" s="21"/>
      <c r="J1017" s="22"/>
    </row>
    <row r="1018" spans="1:10" ht="13.2" x14ac:dyDescent="0.25">
      <c r="A1018" s="17"/>
      <c r="B1018" s="17"/>
      <c r="D1018" s="18"/>
      <c r="E1018" s="18"/>
      <c r="F1018" s="18"/>
      <c r="G1018" s="18"/>
      <c r="H1018" s="58"/>
      <c r="I1018" s="21"/>
      <c r="J1018" s="22"/>
    </row>
    <row r="1019" spans="1:10" ht="13.2" x14ac:dyDescent="0.25">
      <c r="A1019" s="17"/>
      <c r="B1019" s="17"/>
      <c r="D1019" s="18"/>
      <c r="E1019" s="18"/>
      <c r="F1019" s="18"/>
      <c r="G1019" s="18"/>
      <c r="H1019" s="58"/>
      <c r="I1019" s="21"/>
      <c r="J1019" s="22"/>
    </row>
    <row r="1020" spans="1:10" ht="13.2" x14ac:dyDescent="0.25">
      <c r="A1020" s="17"/>
      <c r="B1020" s="17"/>
      <c r="D1020" s="18"/>
      <c r="E1020" s="18"/>
      <c r="F1020" s="18"/>
      <c r="G1020" s="18"/>
      <c r="H1020" s="58"/>
      <c r="I1020" s="21"/>
      <c r="J1020" s="22"/>
    </row>
    <row r="1021" spans="1:10" ht="13.2" x14ac:dyDescent="0.25">
      <c r="A1021" s="17"/>
      <c r="B1021" s="17"/>
      <c r="D1021" s="18"/>
      <c r="E1021" s="18"/>
      <c r="F1021" s="18"/>
      <c r="G1021" s="18"/>
      <c r="H1021" s="58"/>
      <c r="I1021" s="21"/>
      <c r="J1021" s="22"/>
    </row>
    <row r="1022" spans="1:10" ht="13.2" x14ac:dyDescent="0.25">
      <c r="A1022" s="17"/>
      <c r="B1022" s="17"/>
      <c r="D1022" s="18"/>
      <c r="E1022" s="18"/>
      <c r="F1022" s="18"/>
      <c r="G1022" s="18"/>
      <c r="H1022" s="58"/>
      <c r="I1022" s="21"/>
      <c r="J1022" s="22"/>
    </row>
    <row r="1023" spans="1:10" ht="13.2" x14ac:dyDescent="0.25">
      <c r="A1023" s="17"/>
      <c r="B1023" s="17"/>
      <c r="D1023" s="18"/>
      <c r="E1023" s="18"/>
      <c r="F1023" s="18"/>
      <c r="G1023" s="18"/>
      <c r="H1023" s="58"/>
      <c r="I1023" s="21"/>
      <c r="J1023" s="22"/>
    </row>
    <row r="1024" spans="1:10" ht="13.2" x14ac:dyDescent="0.25">
      <c r="A1024" s="17"/>
      <c r="B1024" s="17"/>
      <c r="D1024" s="18"/>
      <c r="E1024" s="18"/>
      <c r="F1024" s="18"/>
      <c r="G1024" s="18"/>
      <c r="H1024" s="58"/>
      <c r="I1024" s="21"/>
      <c r="J1024" s="22"/>
    </row>
  </sheetData>
  <mergeCells count="25">
    <mergeCell ref="B180:G180"/>
    <mergeCell ref="B188:G188"/>
    <mergeCell ref="B196:G196"/>
    <mergeCell ref="B116:G116"/>
    <mergeCell ref="B124:G124"/>
    <mergeCell ref="B132:G132"/>
    <mergeCell ref="B140:G140"/>
    <mergeCell ref="B148:H148"/>
    <mergeCell ref="B156:G156"/>
    <mergeCell ref="B164:G164"/>
    <mergeCell ref="B84:G84"/>
    <mergeCell ref="B92:G92"/>
    <mergeCell ref="B100:G100"/>
    <mergeCell ref="B108:G108"/>
    <mergeCell ref="B172:G172"/>
    <mergeCell ref="B44:G44"/>
    <mergeCell ref="B52:G52"/>
    <mergeCell ref="B60:G60"/>
    <mergeCell ref="B68:G68"/>
    <mergeCell ref="B76:G76"/>
    <mergeCell ref="B4:G4"/>
    <mergeCell ref="B12:G12"/>
    <mergeCell ref="B20:G20"/>
    <mergeCell ref="B28:G28"/>
    <mergeCell ref="B36:G36"/>
  </mergeCells>
  <conditionalFormatting sqref="L13">
    <cfRule type="notContainsBlanks" dxfId="0" priority="1">
      <formula>LEN(TRIM(L13))&gt;0</formula>
    </cfRule>
  </conditionalFormatting>
  <dataValidations count="2">
    <dataValidation type="custom" allowBlank="1" showDropDown="1" showInputMessage="1" showErrorMessage="1" prompt="Ebbe a cellába csak 2011 és 2014 közötti értéket kell megadni!" sqref="D5:D9 D13:D17 D21:D25 D29:D33 D37:D41 D45:D49 D53:D57 D61:D65 D69:D73 D77:D81 D85:D89 D93:D97 D101:D105 D109:D113 D117:D121 D125:D129 D133:D137 D141:D145 D149:D153 D157:D161 D165:D169 D173:D177 D181:D185 D189:D193 D197:D201" xr:uid="{00000000-0002-0000-0700-000000000000}">
      <formula1>OR(D5 = "2011", D5="2012",  D5="2013", D5="2014")</formula1>
    </dataValidation>
    <dataValidation type="custom" allowBlank="1" showDropDown="1" showInputMessage="1" showErrorMessage="1" prompt="Csak szám, (12,33), x. és - jel használható!" sqref="E5:G9 E13:G17 E21:G25 E29:G33 E37:G41 E45:G49 E53:G57 E61:G65 E69:G73 E77:G81 E85:G89 E93:G97 E109:G113 E117:G121 E125:G129 E133:G137 E141:G145 E149:G153 E157:G161 E165:G169 E173:G177 E181:G185 E189:G193 E197:G201" xr:uid="{00000000-0002-0000-0700-000001000000}">
      <formula1>REGEXMATCH(E5,"^\d{1,2},\d{2}$|^x$|^X$|^-$")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K1024"/>
  <sheetViews>
    <sheetView workbookViewId="0">
      <pane ySplit="3" topLeftCell="A4" activePane="bottomLeft" state="frozen"/>
      <selection pane="bottomLeft" activeCell="B5" sqref="B5"/>
    </sheetView>
  </sheetViews>
  <sheetFormatPr defaultColWidth="12.6640625" defaultRowHeight="15.75" customHeight="1" x14ac:dyDescent="0.25"/>
  <cols>
    <col min="1" max="1" width="4.6640625" customWidth="1"/>
    <col min="2" max="2" width="4.109375" customWidth="1"/>
    <col min="3" max="3" width="21.77734375" customWidth="1"/>
    <col min="4" max="4" width="7.77734375" customWidth="1"/>
    <col min="5" max="5" width="2.33203125" customWidth="1"/>
    <col min="6" max="6" width="4.6640625" customWidth="1"/>
    <col min="7" max="7" width="24" customWidth="1"/>
    <col min="8" max="8" width="9.21875" customWidth="1"/>
    <col min="10" max="10" width="8.21875" customWidth="1"/>
    <col min="11" max="11" width="12.6640625" hidden="1"/>
  </cols>
  <sheetData>
    <row r="1" spans="1:11" ht="25.8" x14ac:dyDescent="0.8">
      <c r="A1" s="1" t="s">
        <v>742</v>
      </c>
      <c r="B1" s="2"/>
      <c r="C1" s="3"/>
      <c r="D1" s="4"/>
      <c r="E1" s="5"/>
      <c r="F1" s="5"/>
      <c r="G1" s="5"/>
      <c r="H1" s="5"/>
      <c r="I1" s="56"/>
      <c r="J1" s="56"/>
      <c r="K1" s="75"/>
    </row>
    <row r="2" spans="1:11" ht="16.2" x14ac:dyDescent="0.5">
      <c r="A2" s="9" t="s">
        <v>1</v>
      </c>
      <c r="B2" s="9" t="s">
        <v>2</v>
      </c>
      <c r="C2" s="11" t="s">
        <v>743</v>
      </c>
      <c r="D2" s="12" t="s">
        <v>744</v>
      </c>
      <c r="E2" s="12"/>
      <c r="F2" s="12"/>
      <c r="G2" s="12" t="s">
        <v>745</v>
      </c>
      <c r="H2" s="12" t="s">
        <v>744</v>
      </c>
      <c r="I2" s="14" t="s">
        <v>746</v>
      </c>
      <c r="J2" s="15" t="s">
        <v>7</v>
      </c>
      <c r="K2" s="75"/>
    </row>
    <row r="3" spans="1:11" ht="13.2" x14ac:dyDescent="0.25">
      <c r="A3" s="17"/>
      <c r="B3" s="17"/>
      <c r="D3" s="18"/>
      <c r="E3" s="18"/>
      <c r="F3" s="18"/>
      <c r="G3" s="18"/>
      <c r="H3" s="18"/>
      <c r="I3" s="21"/>
      <c r="J3" s="22"/>
      <c r="K3" s="75"/>
    </row>
    <row r="4" spans="1:11" ht="15.6" x14ac:dyDescent="0.25">
      <c r="A4" s="23">
        <v>1</v>
      </c>
      <c r="B4" s="97" t="s">
        <v>747</v>
      </c>
      <c r="C4" s="98"/>
      <c r="D4" s="98"/>
      <c r="E4" s="98"/>
      <c r="F4" s="98"/>
      <c r="G4" s="98"/>
      <c r="H4" s="99"/>
      <c r="I4" s="76" t="s">
        <v>748</v>
      </c>
      <c r="J4" s="26">
        <f ca="1">IF($K4=2000,,RANK(K4,$K$4:$K$224,TRUE))</f>
        <v>1</v>
      </c>
      <c r="K4" s="77">
        <f ca="1">IFERROR(__xludf.DUMMYFUNCTION("IF(REGEXMATCH(I4,""^\d{1,2}:\d\d,\d{1,2}""),VALUE(LEFT($I4,SEARCH("":"",I4)-1))*60+VALUE(MID($I4,SEARCH("":"",I4)+1,LEN($I4))),2000)"),291.2)</f>
        <v>291.2</v>
      </c>
    </row>
    <row r="5" spans="1:11" ht="18" customHeight="1" x14ac:dyDescent="0.25">
      <c r="A5" s="17"/>
      <c r="B5" s="28">
        <v>1</v>
      </c>
      <c r="C5" s="29" t="s">
        <v>479</v>
      </c>
      <c r="D5" s="78" t="s">
        <v>10</v>
      </c>
      <c r="E5" s="79"/>
      <c r="F5" s="80">
        <v>2</v>
      </c>
      <c r="G5" s="29" t="s">
        <v>24</v>
      </c>
      <c r="H5" s="30" t="s">
        <v>15</v>
      </c>
      <c r="I5" s="21"/>
      <c r="J5" s="22"/>
      <c r="K5" s="75"/>
    </row>
    <row r="6" spans="1:11" ht="18" customHeight="1" x14ac:dyDescent="0.25">
      <c r="A6" s="17"/>
      <c r="B6" s="28">
        <v>3</v>
      </c>
      <c r="C6" s="29" t="s">
        <v>749</v>
      </c>
      <c r="D6" s="78" t="s">
        <v>41</v>
      </c>
      <c r="E6" s="81"/>
      <c r="F6" s="80">
        <v>4</v>
      </c>
      <c r="G6" s="29" t="s">
        <v>750</v>
      </c>
      <c r="H6" s="30" t="s">
        <v>10</v>
      </c>
      <c r="I6" s="21"/>
      <c r="J6" s="22"/>
      <c r="K6" s="75"/>
    </row>
    <row r="7" spans="1:11" ht="18" customHeight="1" x14ac:dyDescent="0.25">
      <c r="A7" s="17"/>
      <c r="B7" s="28">
        <v>5</v>
      </c>
      <c r="C7" s="29" t="s">
        <v>480</v>
      </c>
      <c r="D7" s="78" t="s">
        <v>10</v>
      </c>
      <c r="E7" s="81"/>
      <c r="F7" s="80">
        <v>6</v>
      </c>
      <c r="G7" s="29" t="s">
        <v>21</v>
      </c>
      <c r="H7" s="30" t="s">
        <v>10</v>
      </c>
      <c r="I7" s="21"/>
      <c r="J7" s="22"/>
      <c r="K7" s="75"/>
    </row>
    <row r="8" spans="1:11" ht="18" customHeight="1" x14ac:dyDescent="0.25">
      <c r="A8" s="17"/>
      <c r="B8" s="28">
        <v>7</v>
      </c>
      <c r="C8" s="29" t="s">
        <v>521</v>
      </c>
      <c r="D8" s="78" t="s">
        <v>371</v>
      </c>
      <c r="E8" s="81"/>
      <c r="F8" s="80">
        <v>8</v>
      </c>
      <c r="G8" s="29" t="s">
        <v>102</v>
      </c>
      <c r="H8" s="30" t="s">
        <v>10</v>
      </c>
      <c r="I8" s="21"/>
      <c r="J8" s="22"/>
      <c r="K8" s="75"/>
    </row>
    <row r="9" spans="1:11" ht="18" customHeight="1" x14ac:dyDescent="0.25">
      <c r="A9" s="17"/>
      <c r="B9" s="28">
        <v>9</v>
      </c>
      <c r="C9" s="29" t="s">
        <v>477</v>
      </c>
      <c r="D9" s="78" t="s">
        <v>15</v>
      </c>
      <c r="E9" s="82"/>
      <c r="F9" s="80">
        <v>10</v>
      </c>
      <c r="G9" s="29" t="s">
        <v>22</v>
      </c>
      <c r="H9" s="30" t="s">
        <v>10</v>
      </c>
      <c r="I9" s="21"/>
      <c r="J9" s="22"/>
      <c r="K9" s="75"/>
    </row>
    <row r="10" spans="1:11" ht="13.2" x14ac:dyDescent="0.25">
      <c r="B10" s="35" t="s">
        <v>18</v>
      </c>
      <c r="C10" s="83"/>
      <c r="D10" s="35" t="s">
        <v>28</v>
      </c>
      <c r="E10" s="83"/>
      <c r="F10" s="83"/>
      <c r="G10" s="84"/>
      <c r="H10" s="85"/>
      <c r="I10" s="86"/>
      <c r="J10" s="22"/>
      <c r="K10" s="75"/>
    </row>
    <row r="11" spans="1:11" ht="13.2" x14ac:dyDescent="0.25">
      <c r="I11" s="86"/>
      <c r="J11" s="22"/>
      <c r="K11" s="75"/>
    </row>
    <row r="12" spans="1:11" ht="15.6" x14ac:dyDescent="0.25">
      <c r="A12" s="23">
        <v>2</v>
      </c>
      <c r="B12" s="97" t="s">
        <v>450</v>
      </c>
      <c r="C12" s="98"/>
      <c r="D12" s="98"/>
      <c r="E12" s="98"/>
      <c r="F12" s="98"/>
      <c r="G12" s="98"/>
      <c r="H12" s="99"/>
      <c r="I12" s="76" t="s">
        <v>751</v>
      </c>
      <c r="J12" s="26">
        <f ca="1">IF($K12=2000,,RANK(K12,$K$4:$K$224,TRUE))</f>
        <v>2</v>
      </c>
      <c r="K12" s="77">
        <f ca="1">IFERROR(__xludf.DUMMYFUNCTION("IF(REGEXMATCH(I12,""^\d{1,2}:\d\d,\d{1,2}""),VALUE(LEFT($I12,SEARCH("":"",I12)-1))*60+VALUE(MID($I12,SEARCH("":"",I12)+1,LEN($I12))),2000)"),305.2)</f>
        <v>305.2</v>
      </c>
    </row>
    <row r="13" spans="1:11" ht="13.2" x14ac:dyDescent="0.25">
      <c r="A13" s="17"/>
      <c r="B13" s="28">
        <v>1</v>
      </c>
      <c r="C13" s="29" t="s">
        <v>498</v>
      </c>
      <c r="D13" s="78" t="s">
        <v>15</v>
      </c>
      <c r="E13" s="79"/>
      <c r="F13" s="80">
        <v>2</v>
      </c>
      <c r="G13" s="29" t="s">
        <v>451</v>
      </c>
      <c r="H13" s="30" t="s">
        <v>15</v>
      </c>
      <c r="I13" s="21"/>
      <c r="J13" s="22"/>
      <c r="K13" s="75"/>
    </row>
    <row r="14" spans="1:11" ht="13.2" x14ac:dyDescent="0.25">
      <c r="A14" s="17"/>
      <c r="B14" s="28">
        <v>3</v>
      </c>
      <c r="C14" s="29" t="s">
        <v>499</v>
      </c>
      <c r="D14" s="78" t="s">
        <v>15</v>
      </c>
      <c r="E14" s="81"/>
      <c r="F14" s="80">
        <v>4</v>
      </c>
      <c r="G14" s="29" t="s">
        <v>453</v>
      </c>
      <c r="H14" s="30" t="s">
        <v>10</v>
      </c>
      <c r="I14" s="21"/>
      <c r="J14" s="22"/>
      <c r="K14" s="75"/>
    </row>
    <row r="15" spans="1:11" ht="13.2" x14ac:dyDescent="0.25">
      <c r="A15" s="17"/>
      <c r="B15" s="28">
        <v>5</v>
      </c>
      <c r="C15" s="29" t="s">
        <v>528</v>
      </c>
      <c r="D15" s="78" t="s">
        <v>15</v>
      </c>
      <c r="E15" s="81"/>
      <c r="F15" s="80">
        <v>6</v>
      </c>
      <c r="G15" s="29" t="s">
        <v>457</v>
      </c>
      <c r="H15" s="30" t="s">
        <v>15</v>
      </c>
      <c r="I15" s="21"/>
      <c r="J15" s="22"/>
      <c r="K15" s="75"/>
    </row>
    <row r="16" spans="1:11" ht="13.2" x14ac:dyDescent="0.25">
      <c r="A16" s="17"/>
      <c r="B16" s="28">
        <v>7</v>
      </c>
      <c r="C16" s="29" t="s">
        <v>530</v>
      </c>
      <c r="D16" s="78" t="s">
        <v>15</v>
      </c>
      <c r="E16" s="81"/>
      <c r="F16" s="80">
        <v>8</v>
      </c>
      <c r="G16" s="29" t="s">
        <v>459</v>
      </c>
      <c r="H16" s="30" t="s">
        <v>15</v>
      </c>
      <c r="I16" s="21"/>
      <c r="J16" s="22"/>
      <c r="K16" s="75"/>
    </row>
    <row r="17" spans="1:11" ht="13.2" x14ac:dyDescent="0.25">
      <c r="A17" s="17"/>
      <c r="B17" s="28">
        <v>9</v>
      </c>
      <c r="C17" s="29" t="s">
        <v>502</v>
      </c>
      <c r="D17" s="78" t="s">
        <v>41</v>
      </c>
      <c r="E17" s="82"/>
      <c r="F17" s="80">
        <v>10</v>
      </c>
      <c r="G17" s="29" t="s">
        <v>455</v>
      </c>
      <c r="H17" s="30" t="s">
        <v>10</v>
      </c>
      <c r="I17" s="21"/>
      <c r="J17" s="22"/>
      <c r="K17" s="75"/>
    </row>
    <row r="18" spans="1:11" ht="13.2" x14ac:dyDescent="0.25">
      <c r="B18" s="35" t="s">
        <v>18</v>
      </c>
      <c r="C18" s="83"/>
      <c r="D18" s="35" t="s">
        <v>462</v>
      </c>
      <c r="E18" s="83"/>
      <c r="F18" s="83"/>
      <c r="G18" s="84"/>
      <c r="H18" s="85"/>
      <c r="I18" s="86"/>
      <c r="J18" s="22"/>
      <c r="K18" s="75"/>
    </row>
    <row r="19" spans="1:11" ht="13.2" x14ac:dyDescent="0.25">
      <c r="I19" s="86"/>
      <c r="J19" s="22"/>
      <c r="K19" s="75"/>
    </row>
    <row r="20" spans="1:11" ht="15.6" x14ac:dyDescent="0.25">
      <c r="A20" s="23">
        <v>3</v>
      </c>
      <c r="B20" s="97" t="s">
        <v>46</v>
      </c>
      <c r="C20" s="98"/>
      <c r="D20" s="98"/>
      <c r="E20" s="98"/>
      <c r="F20" s="98"/>
      <c r="G20" s="98"/>
      <c r="H20" s="99"/>
      <c r="I20" s="76" t="s">
        <v>752</v>
      </c>
      <c r="J20" s="26">
        <f ca="1">IF($K20=2000,,RANK(K20,$K$4:$K$224,TRUE))</f>
        <v>3</v>
      </c>
      <c r="K20" s="77">
        <f ca="1">IFERROR(__xludf.DUMMYFUNCTION("IF(REGEXMATCH(I20,""^\d{1,2}:\d\d,\d{1,2}""),VALUE(LEFT($I20,SEARCH("":"",I20)-1))*60+VALUE(MID($I20,SEARCH("":"",I20)+1,LEN($I20))),2000)"),309.8)</f>
        <v>309.8</v>
      </c>
    </row>
    <row r="21" spans="1:11" ht="13.2" x14ac:dyDescent="0.25">
      <c r="A21" s="17"/>
      <c r="B21" s="28">
        <v>1</v>
      </c>
      <c r="C21" s="29" t="s">
        <v>614</v>
      </c>
      <c r="D21" s="78" t="s">
        <v>10</v>
      </c>
      <c r="E21" s="79"/>
      <c r="F21" s="80">
        <v>2</v>
      </c>
      <c r="G21" s="29" t="s">
        <v>142</v>
      </c>
      <c r="H21" s="30" t="s">
        <v>10</v>
      </c>
      <c r="I21" s="21"/>
      <c r="J21" s="22"/>
      <c r="K21" s="75"/>
    </row>
    <row r="22" spans="1:11" ht="13.2" x14ac:dyDescent="0.25">
      <c r="A22" s="17"/>
      <c r="B22" s="28">
        <v>3</v>
      </c>
      <c r="C22" s="29" t="s">
        <v>503</v>
      </c>
      <c r="D22" s="78" t="s">
        <v>15</v>
      </c>
      <c r="E22" s="81"/>
      <c r="F22" s="80">
        <v>4</v>
      </c>
      <c r="G22" s="29" t="s">
        <v>146</v>
      </c>
      <c r="H22" s="30" t="s">
        <v>10</v>
      </c>
      <c r="I22" s="21"/>
      <c r="J22" s="22"/>
      <c r="K22" s="75"/>
    </row>
    <row r="23" spans="1:11" ht="13.2" x14ac:dyDescent="0.25">
      <c r="A23" s="17"/>
      <c r="B23" s="28">
        <v>5</v>
      </c>
      <c r="C23" s="29" t="s">
        <v>675</v>
      </c>
      <c r="D23" s="78" t="s">
        <v>41</v>
      </c>
      <c r="E23" s="81"/>
      <c r="F23" s="80">
        <v>6</v>
      </c>
      <c r="G23" s="29" t="s">
        <v>48</v>
      </c>
      <c r="H23" s="30" t="s">
        <v>10</v>
      </c>
      <c r="I23" s="21"/>
      <c r="J23" s="22"/>
      <c r="K23" s="75"/>
    </row>
    <row r="24" spans="1:11" ht="13.2" x14ac:dyDescent="0.25">
      <c r="A24" s="17"/>
      <c r="B24" s="28">
        <v>7</v>
      </c>
      <c r="C24" s="29" t="s">
        <v>504</v>
      </c>
      <c r="D24" s="78" t="s">
        <v>15</v>
      </c>
      <c r="E24" s="81"/>
      <c r="F24" s="80">
        <v>8</v>
      </c>
      <c r="G24" s="29" t="s">
        <v>49</v>
      </c>
      <c r="H24" s="30" t="s">
        <v>15</v>
      </c>
      <c r="I24" s="21"/>
      <c r="J24" s="22"/>
      <c r="K24" s="75"/>
    </row>
    <row r="25" spans="1:11" ht="13.2" x14ac:dyDescent="0.25">
      <c r="A25" s="17"/>
      <c r="B25" s="28">
        <v>9</v>
      </c>
      <c r="C25" s="29" t="s">
        <v>506</v>
      </c>
      <c r="D25" s="78" t="s">
        <v>10</v>
      </c>
      <c r="E25" s="82"/>
      <c r="F25" s="80">
        <v>10</v>
      </c>
      <c r="G25" s="29" t="s">
        <v>47</v>
      </c>
      <c r="H25" s="30" t="s">
        <v>10</v>
      </c>
      <c r="I25" s="21"/>
      <c r="J25" s="22"/>
      <c r="K25" s="75"/>
    </row>
    <row r="26" spans="1:11" ht="13.2" x14ac:dyDescent="0.25">
      <c r="B26" s="35" t="s">
        <v>18</v>
      </c>
      <c r="C26" s="83"/>
      <c r="D26" s="35" t="s">
        <v>53</v>
      </c>
      <c r="E26" s="83"/>
      <c r="F26" s="83"/>
      <c r="G26" s="84"/>
      <c r="H26" s="85"/>
      <c r="I26" s="86"/>
      <c r="J26" s="22"/>
      <c r="K26" s="75"/>
    </row>
    <row r="27" spans="1:11" ht="13.2" x14ac:dyDescent="0.25">
      <c r="I27" s="86"/>
      <c r="J27" s="22"/>
      <c r="K27" s="75"/>
    </row>
    <row r="28" spans="1:11" ht="15.6" x14ac:dyDescent="0.25">
      <c r="A28" s="23">
        <v>4</v>
      </c>
      <c r="B28" s="97" t="s">
        <v>109</v>
      </c>
      <c r="C28" s="98"/>
      <c r="D28" s="98"/>
      <c r="E28" s="98"/>
      <c r="F28" s="98"/>
      <c r="G28" s="98"/>
      <c r="H28" s="99"/>
      <c r="I28" s="76" t="s">
        <v>753</v>
      </c>
      <c r="J28" s="26">
        <f ca="1">IF($K28=2000,,RANK(K28,$K$4:$K$224,TRUE))</f>
        <v>4</v>
      </c>
      <c r="K28" s="77">
        <f ca="1">IFERROR(__xludf.DUMMYFUNCTION("IF(REGEXMATCH(I28,""^\d{1,2}:\d\d,\d{1,2}""),VALUE(LEFT($I28,SEARCH("":"",I28)-1))*60+VALUE(MID($I28,SEARCH("":"",I28)+1,LEN($I28))),2000)"),311.4)</f>
        <v>311.39999999999998</v>
      </c>
    </row>
    <row r="29" spans="1:11" ht="13.2" x14ac:dyDescent="0.25">
      <c r="A29" s="17"/>
      <c r="B29" s="28">
        <v>1</v>
      </c>
      <c r="C29" s="29" t="s">
        <v>700</v>
      </c>
      <c r="D29" s="78" t="s">
        <v>15</v>
      </c>
      <c r="E29" s="79"/>
      <c r="F29" s="80">
        <v>2</v>
      </c>
      <c r="G29" s="29" t="s">
        <v>754</v>
      </c>
      <c r="H29" s="30" t="s">
        <v>10</v>
      </c>
      <c r="I29" s="21"/>
      <c r="J29" s="22"/>
      <c r="K29" s="75"/>
    </row>
    <row r="30" spans="1:11" ht="13.2" x14ac:dyDescent="0.25">
      <c r="A30" s="17"/>
      <c r="B30" s="28">
        <v>3</v>
      </c>
      <c r="C30" s="29" t="s">
        <v>702</v>
      </c>
      <c r="D30" s="78" t="s">
        <v>10</v>
      </c>
      <c r="E30" s="81"/>
      <c r="F30" s="80">
        <v>4</v>
      </c>
      <c r="G30" s="29" t="s">
        <v>117</v>
      </c>
      <c r="H30" s="30" t="s">
        <v>15</v>
      </c>
      <c r="I30" s="21"/>
      <c r="J30" s="22"/>
      <c r="K30" s="75"/>
    </row>
    <row r="31" spans="1:11" ht="13.2" x14ac:dyDescent="0.25">
      <c r="A31" s="17"/>
      <c r="B31" s="28">
        <v>5</v>
      </c>
      <c r="C31" s="29" t="s">
        <v>755</v>
      </c>
      <c r="D31" s="78" t="s">
        <v>10</v>
      </c>
      <c r="E31" s="81"/>
      <c r="F31" s="80">
        <v>6</v>
      </c>
      <c r="G31" s="29" t="s">
        <v>121</v>
      </c>
      <c r="H31" s="30" t="s">
        <v>10</v>
      </c>
      <c r="I31" s="21"/>
      <c r="J31" s="22"/>
      <c r="K31" s="75"/>
    </row>
    <row r="32" spans="1:11" ht="13.2" x14ac:dyDescent="0.25">
      <c r="A32" s="17"/>
      <c r="B32" s="28">
        <v>7</v>
      </c>
      <c r="C32" s="29" t="s">
        <v>756</v>
      </c>
      <c r="D32" s="78" t="s">
        <v>15</v>
      </c>
      <c r="E32" s="81"/>
      <c r="F32" s="80">
        <v>8</v>
      </c>
      <c r="G32" s="29" t="s">
        <v>110</v>
      </c>
      <c r="H32" s="30" t="s">
        <v>10</v>
      </c>
      <c r="I32" s="21"/>
      <c r="J32" s="22"/>
      <c r="K32" s="75"/>
    </row>
    <row r="33" spans="1:11" ht="13.2" x14ac:dyDescent="0.25">
      <c r="A33" s="17"/>
      <c r="B33" s="28">
        <v>9</v>
      </c>
      <c r="C33" s="29" t="s">
        <v>704</v>
      </c>
      <c r="D33" s="78" t="s">
        <v>10</v>
      </c>
      <c r="E33" s="82"/>
      <c r="F33" s="80">
        <v>10</v>
      </c>
      <c r="G33" s="29" t="s">
        <v>111</v>
      </c>
      <c r="H33" s="30" t="s">
        <v>10</v>
      </c>
      <c r="I33" s="21"/>
      <c r="J33" s="22"/>
      <c r="K33" s="75"/>
    </row>
    <row r="34" spans="1:11" ht="13.2" x14ac:dyDescent="0.25">
      <c r="B34" s="35" t="s">
        <v>18</v>
      </c>
      <c r="C34" s="83"/>
      <c r="D34" s="35" t="s">
        <v>125</v>
      </c>
      <c r="E34" s="83"/>
      <c r="F34" s="83"/>
      <c r="G34" s="84"/>
      <c r="H34" s="85"/>
      <c r="I34" s="86"/>
      <c r="J34" s="22"/>
      <c r="K34" s="75"/>
    </row>
    <row r="35" spans="1:11" ht="13.2" x14ac:dyDescent="0.25">
      <c r="I35" s="86"/>
      <c r="J35" s="22"/>
      <c r="K35" s="75"/>
    </row>
    <row r="36" spans="1:11" ht="15.6" x14ac:dyDescent="0.25">
      <c r="A36" s="23">
        <v>5</v>
      </c>
      <c r="B36" s="97" t="s">
        <v>54</v>
      </c>
      <c r="C36" s="98"/>
      <c r="D36" s="98"/>
      <c r="E36" s="98"/>
      <c r="F36" s="98"/>
      <c r="G36" s="98"/>
      <c r="H36" s="99"/>
      <c r="I36" s="76" t="s">
        <v>757</v>
      </c>
      <c r="J36" s="26">
        <f ca="1">IF($K36=2000,,RANK(K36,$K$4:$K$224,TRUE))</f>
        <v>5</v>
      </c>
      <c r="K36" s="77">
        <f ca="1">IFERROR(__xludf.DUMMYFUNCTION("IF(REGEXMATCH(I36,""^\d{1,2}:\d\d,\d{1,2}""),VALUE(LEFT($I36,SEARCH("":"",I36)-1))*60+VALUE(MID($I36,SEARCH("":"",I36)+1,LEN($I36))),2000)"),315.6)</f>
        <v>315.60000000000002</v>
      </c>
    </row>
    <row r="37" spans="1:11" ht="13.2" x14ac:dyDescent="0.25">
      <c r="A37" s="17"/>
      <c r="B37" s="28">
        <v>1</v>
      </c>
      <c r="C37" s="29" t="s">
        <v>534</v>
      </c>
      <c r="D37" s="78" t="s">
        <v>10</v>
      </c>
      <c r="E37" s="79"/>
      <c r="F37" s="80">
        <v>2</v>
      </c>
      <c r="G37" s="29" t="s">
        <v>204</v>
      </c>
      <c r="H37" s="30" t="s">
        <v>10</v>
      </c>
      <c r="I37" s="21"/>
      <c r="J37" s="22"/>
      <c r="K37" s="75"/>
    </row>
    <row r="38" spans="1:11" ht="13.2" x14ac:dyDescent="0.25">
      <c r="A38" s="17"/>
      <c r="B38" s="28">
        <v>3</v>
      </c>
      <c r="C38" s="29" t="s">
        <v>489</v>
      </c>
      <c r="D38" s="78" t="s">
        <v>10</v>
      </c>
      <c r="E38" s="81"/>
      <c r="F38" s="80">
        <v>4</v>
      </c>
      <c r="G38" s="29" t="s">
        <v>201</v>
      </c>
      <c r="H38" s="30" t="s">
        <v>15</v>
      </c>
      <c r="I38" s="21"/>
      <c r="J38" s="22"/>
      <c r="K38" s="75"/>
    </row>
    <row r="39" spans="1:11" ht="13.2" x14ac:dyDescent="0.25">
      <c r="A39" s="17"/>
      <c r="B39" s="28">
        <v>5</v>
      </c>
      <c r="C39" s="29" t="s">
        <v>491</v>
      </c>
      <c r="D39" s="78" t="s">
        <v>41</v>
      </c>
      <c r="E39" s="81"/>
      <c r="F39" s="80">
        <v>6</v>
      </c>
      <c r="G39" s="29" t="s">
        <v>56</v>
      </c>
      <c r="H39" s="30" t="s">
        <v>41</v>
      </c>
      <c r="I39" s="21"/>
      <c r="J39" s="22"/>
      <c r="K39" s="75"/>
    </row>
    <row r="40" spans="1:11" ht="13.2" x14ac:dyDescent="0.25">
      <c r="A40" s="17"/>
      <c r="B40" s="28">
        <v>7</v>
      </c>
      <c r="C40" s="29" t="s">
        <v>487</v>
      </c>
      <c r="D40" s="78" t="s">
        <v>15</v>
      </c>
      <c r="E40" s="81"/>
      <c r="F40" s="80">
        <v>8</v>
      </c>
      <c r="G40" s="29" t="s">
        <v>59</v>
      </c>
      <c r="H40" s="30" t="s">
        <v>15</v>
      </c>
      <c r="I40" s="21"/>
      <c r="J40" s="22"/>
      <c r="K40" s="75"/>
    </row>
    <row r="41" spans="1:11" ht="13.2" x14ac:dyDescent="0.25">
      <c r="A41" s="17"/>
      <c r="B41" s="28">
        <v>9</v>
      </c>
      <c r="C41" s="29" t="s">
        <v>488</v>
      </c>
      <c r="D41" s="78" t="s">
        <v>10</v>
      </c>
      <c r="E41" s="82"/>
      <c r="F41" s="80">
        <v>10</v>
      </c>
      <c r="G41" s="29" t="s">
        <v>55</v>
      </c>
      <c r="H41" s="30" t="s">
        <v>41</v>
      </c>
      <c r="I41" s="21"/>
      <c r="J41" s="22"/>
      <c r="K41" s="75"/>
    </row>
    <row r="42" spans="1:11" ht="13.2" x14ac:dyDescent="0.25">
      <c r="B42" s="35" t="s">
        <v>18</v>
      </c>
      <c r="C42" s="83"/>
      <c r="D42" s="35" t="s">
        <v>61</v>
      </c>
      <c r="E42" s="83"/>
      <c r="F42" s="83"/>
      <c r="G42" s="84" t="s">
        <v>758</v>
      </c>
      <c r="H42" s="85"/>
      <c r="I42" s="86"/>
      <c r="J42" s="22"/>
      <c r="K42" s="75"/>
    </row>
    <row r="43" spans="1:11" ht="13.2" x14ac:dyDescent="0.25">
      <c r="I43" s="86"/>
      <c r="J43" s="22"/>
      <c r="K43" s="75"/>
    </row>
    <row r="44" spans="1:11" ht="15.6" x14ac:dyDescent="0.25">
      <c r="A44" s="23">
        <v>6</v>
      </c>
      <c r="B44" s="97" t="s">
        <v>78</v>
      </c>
      <c r="C44" s="98"/>
      <c r="D44" s="98"/>
      <c r="E44" s="98"/>
      <c r="F44" s="98"/>
      <c r="G44" s="98"/>
      <c r="H44" s="99"/>
      <c r="I44" s="76" t="s">
        <v>759</v>
      </c>
      <c r="J44" s="26">
        <f ca="1">IF($K44=2000,,RANK(K44,$K$4:$K$224,TRUE))</f>
        <v>6</v>
      </c>
      <c r="K44" s="77">
        <f ca="1">IFERROR(__xludf.DUMMYFUNCTION("IF(REGEXMATCH(I44,""^\d{1,2}:\d\d,\d{1,2}""),VALUE(LEFT($I44,SEARCH("":"",I44)-1))*60+VALUE(MID($I44,SEARCH("":"",I44)+1,LEN($I44))),2000)"),315.9)</f>
        <v>315.89999999999998</v>
      </c>
    </row>
    <row r="45" spans="1:11" ht="13.2" x14ac:dyDescent="0.25">
      <c r="A45" s="17"/>
      <c r="B45" s="28">
        <v>1</v>
      </c>
      <c r="C45" s="29" t="s">
        <v>574</v>
      </c>
      <c r="D45" s="78" t="s">
        <v>41</v>
      </c>
      <c r="E45" s="79"/>
      <c r="F45" s="80">
        <v>2</v>
      </c>
      <c r="G45" s="29" t="s">
        <v>408</v>
      </c>
      <c r="H45" s="30" t="s">
        <v>41</v>
      </c>
      <c r="I45" s="21"/>
      <c r="J45" s="22"/>
      <c r="K45" s="75"/>
    </row>
    <row r="46" spans="1:11" ht="13.2" x14ac:dyDescent="0.25">
      <c r="A46" s="17"/>
      <c r="B46" s="28">
        <v>3</v>
      </c>
      <c r="C46" s="29" t="s">
        <v>760</v>
      </c>
      <c r="D46" s="78" t="s">
        <v>10</v>
      </c>
      <c r="E46" s="81"/>
      <c r="F46" s="80">
        <v>4</v>
      </c>
      <c r="G46" s="29" t="s">
        <v>92</v>
      </c>
      <c r="H46" s="30" t="s">
        <v>15</v>
      </c>
      <c r="I46" s="21"/>
      <c r="J46" s="22"/>
      <c r="K46" s="75"/>
    </row>
    <row r="47" spans="1:11" ht="13.2" x14ac:dyDescent="0.25">
      <c r="A47" s="17"/>
      <c r="B47" s="28">
        <v>5</v>
      </c>
      <c r="C47" s="29" t="s">
        <v>578</v>
      </c>
      <c r="D47" s="78" t="s">
        <v>15</v>
      </c>
      <c r="E47" s="81"/>
      <c r="F47" s="80">
        <v>6</v>
      </c>
      <c r="G47" s="29" t="s">
        <v>410</v>
      </c>
      <c r="H47" s="30" t="s">
        <v>10</v>
      </c>
      <c r="I47" s="21"/>
      <c r="J47" s="22"/>
      <c r="K47" s="75"/>
    </row>
    <row r="48" spans="1:11" ht="13.2" x14ac:dyDescent="0.25">
      <c r="A48" s="17"/>
      <c r="B48" s="28">
        <v>7</v>
      </c>
      <c r="C48" s="29" t="s">
        <v>761</v>
      </c>
      <c r="D48" s="78" t="s">
        <v>41</v>
      </c>
      <c r="E48" s="81"/>
      <c r="F48" s="80">
        <v>8</v>
      </c>
      <c r="G48" s="29" t="s">
        <v>83</v>
      </c>
      <c r="H48" s="30" t="s">
        <v>15</v>
      </c>
      <c r="I48" s="21"/>
      <c r="J48" s="22"/>
      <c r="K48" s="75"/>
    </row>
    <row r="49" spans="1:11" ht="13.2" x14ac:dyDescent="0.25">
      <c r="A49" s="17"/>
      <c r="B49" s="28">
        <v>9</v>
      </c>
      <c r="C49" s="29" t="s">
        <v>577</v>
      </c>
      <c r="D49" s="78" t="s">
        <v>15</v>
      </c>
      <c r="E49" s="82"/>
      <c r="F49" s="80">
        <v>10</v>
      </c>
      <c r="G49" s="29" t="s">
        <v>89</v>
      </c>
      <c r="H49" s="30" t="s">
        <v>15</v>
      </c>
      <c r="I49" s="21"/>
      <c r="J49" s="22"/>
      <c r="K49" s="75"/>
    </row>
    <row r="50" spans="1:11" ht="13.2" x14ac:dyDescent="0.25">
      <c r="B50" s="35" t="s">
        <v>18</v>
      </c>
      <c r="C50" s="83"/>
      <c r="D50" s="35" t="s">
        <v>95</v>
      </c>
      <c r="E50" s="83"/>
      <c r="F50" s="83"/>
      <c r="G50" s="84"/>
      <c r="H50" s="85"/>
      <c r="I50" s="86"/>
      <c r="J50" s="22"/>
      <c r="K50" s="75"/>
    </row>
    <row r="51" spans="1:11" ht="13.2" x14ac:dyDescent="0.25">
      <c r="I51" s="86"/>
      <c r="J51" s="22"/>
      <c r="K51" s="75"/>
    </row>
    <row r="52" spans="1:11" ht="15.6" x14ac:dyDescent="0.25">
      <c r="A52" s="23">
        <v>7</v>
      </c>
      <c r="B52" s="97" t="s">
        <v>37</v>
      </c>
      <c r="C52" s="98"/>
      <c r="D52" s="98"/>
      <c r="E52" s="98"/>
      <c r="F52" s="98"/>
      <c r="G52" s="98"/>
      <c r="H52" s="99"/>
      <c r="I52" s="76" t="s">
        <v>762</v>
      </c>
      <c r="J52" s="26">
        <f ca="1">IF($K52=2000,,RANK(K52,$K$4:$K$224,TRUE))</f>
        <v>7</v>
      </c>
      <c r="K52" s="77">
        <f ca="1">IFERROR(__xludf.DUMMYFUNCTION("IF(REGEXMATCH(I52,""^\d{1,2}:\d\d,\d{1,2}""),VALUE(LEFT($I52,SEARCH("":"",I52)-1))*60+VALUE(MID($I52,SEARCH("":"",I52)+1,LEN($I52))),2000)"),316.7)</f>
        <v>316.7</v>
      </c>
    </row>
    <row r="53" spans="1:11" ht="13.2" x14ac:dyDescent="0.25">
      <c r="A53" s="17"/>
      <c r="B53" s="28">
        <v>1</v>
      </c>
      <c r="C53" s="29" t="s">
        <v>493</v>
      </c>
      <c r="D53" s="78" t="s">
        <v>15</v>
      </c>
      <c r="E53" s="79"/>
      <c r="F53" s="80">
        <v>2</v>
      </c>
      <c r="G53" s="29" t="s">
        <v>40</v>
      </c>
      <c r="H53" s="30" t="s">
        <v>41</v>
      </c>
      <c r="I53" s="21"/>
      <c r="J53" s="22"/>
      <c r="K53" s="75"/>
    </row>
    <row r="54" spans="1:11" ht="13.2" x14ac:dyDescent="0.25">
      <c r="A54" s="17"/>
      <c r="B54" s="28">
        <v>3</v>
      </c>
      <c r="C54" s="29" t="s">
        <v>497</v>
      </c>
      <c r="D54" s="78" t="s">
        <v>10</v>
      </c>
      <c r="E54" s="81"/>
      <c r="F54" s="80">
        <v>4</v>
      </c>
      <c r="G54" s="29" t="s">
        <v>43</v>
      </c>
      <c r="H54" s="30" t="s">
        <v>41</v>
      </c>
      <c r="I54" s="21"/>
      <c r="J54" s="22"/>
      <c r="K54" s="75"/>
    </row>
    <row r="55" spans="1:11" ht="13.2" x14ac:dyDescent="0.25">
      <c r="A55" s="17"/>
      <c r="B55" s="28">
        <v>5</v>
      </c>
      <c r="C55" s="29" t="s">
        <v>494</v>
      </c>
      <c r="D55" s="78" t="s">
        <v>10</v>
      </c>
      <c r="E55" s="81"/>
      <c r="F55" s="80">
        <v>6</v>
      </c>
      <c r="G55" s="29" t="s">
        <v>39</v>
      </c>
      <c r="H55" s="30" t="s">
        <v>15</v>
      </c>
      <c r="I55" s="21"/>
      <c r="J55" s="22"/>
      <c r="K55" s="75"/>
    </row>
    <row r="56" spans="1:11" ht="13.2" x14ac:dyDescent="0.25">
      <c r="A56" s="17"/>
      <c r="B56" s="28">
        <v>7</v>
      </c>
      <c r="C56" s="29" t="s">
        <v>668</v>
      </c>
      <c r="D56" s="78" t="s">
        <v>10</v>
      </c>
      <c r="E56" s="81"/>
      <c r="F56" s="80">
        <v>8</v>
      </c>
      <c r="G56" s="29" t="s">
        <v>38</v>
      </c>
      <c r="H56" s="30" t="s">
        <v>10</v>
      </c>
      <c r="I56" s="21"/>
      <c r="J56" s="22"/>
      <c r="K56" s="75"/>
    </row>
    <row r="57" spans="1:11" ht="13.2" x14ac:dyDescent="0.25">
      <c r="A57" s="17"/>
      <c r="B57" s="28">
        <v>9</v>
      </c>
      <c r="C57" s="29" t="s">
        <v>495</v>
      </c>
      <c r="D57" s="78" t="s">
        <v>15</v>
      </c>
      <c r="E57" s="82"/>
      <c r="F57" s="80">
        <v>10</v>
      </c>
      <c r="G57" s="29" t="s">
        <v>164</v>
      </c>
      <c r="H57" s="30" t="s">
        <v>15</v>
      </c>
      <c r="I57" s="21"/>
      <c r="J57" s="22"/>
      <c r="K57" s="75"/>
    </row>
    <row r="58" spans="1:11" ht="13.2" x14ac:dyDescent="0.25">
      <c r="B58" s="35" t="s">
        <v>18</v>
      </c>
      <c r="C58" s="83"/>
      <c r="D58" s="35" t="s">
        <v>45</v>
      </c>
      <c r="E58" s="83"/>
      <c r="F58" s="83"/>
      <c r="G58" s="84"/>
      <c r="H58" s="85"/>
      <c r="I58" s="86"/>
      <c r="J58" s="22"/>
      <c r="K58" s="75"/>
    </row>
    <row r="59" spans="1:11" ht="13.2" x14ac:dyDescent="0.25">
      <c r="I59" s="86"/>
      <c r="J59" s="22"/>
      <c r="K59" s="75"/>
    </row>
    <row r="60" spans="1:11" ht="15.6" x14ac:dyDescent="0.25">
      <c r="A60" s="23">
        <v>8</v>
      </c>
      <c r="B60" s="97" t="s">
        <v>209</v>
      </c>
      <c r="C60" s="98"/>
      <c r="D60" s="98"/>
      <c r="E60" s="98"/>
      <c r="F60" s="98"/>
      <c r="G60" s="98"/>
      <c r="H60" s="99"/>
      <c r="I60" s="76" t="s">
        <v>763</v>
      </c>
      <c r="J60" s="26">
        <f ca="1">IF($K60=2000,,RANK(K60,$K$4:$K$224,TRUE))</f>
        <v>8</v>
      </c>
      <c r="K60" s="77">
        <f ca="1">IFERROR(__xludf.DUMMYFUNCTION("IF(REGEXMATCH(I60,""^\d{1,2}:\d\d,\d{1,2}""),VALUE(LEFT($I60,SEARCH("":"",I60)-1))*60+VALUE(MID($I60,SEARCH("":"",I60)+1,LEN($I60))),2000)"),333.6)</f>
        <v>333.6</v>
      </c>
    </row>
    <row r="61" spans="1:11" ht="13.2" x14ac:dyDescent="0.25">
      <c r="A61" s="17"/>
      <c r="B61" s="28">
        <v>1</v>
      </c>
      <c r="C61" s="29" t="s">
        <v>583</v>
      </c>
      <c r="D61" s="78" t="s">
        <v>41</v>
      </c>
      <c r="E61" s="79"/>
      <c r="F61" s="80">
        <v>2</v>
      </c>
      <c r="G61" s="29" t="s">
        <v>213</v>
      </c>
      <c r="H61" s="30" t="s">
        <v>41</v>
      </c>
      <c r="I61" s="21"/>
      <c r="J61" s="22"/>
      <c r="K61" s="75"/>
    </row>
    <row r="62" spans="1:11" ht="13.2" x14ac:dyDescent="0.25">
      <c r="A62" s="17"/>
      <c r="B62" s="28">
        <v>3</v>
      </c>
      <c r="C62" s="29" t="s">
        <v>764</v>
      </c>
      <c r="D62" s="78" t="s">
        <v>15</v>
      </c>
      <c r="E62" s="81"/>
      <c r="F62" s="80">
        <v>4</v>
      </c>
      <c r="G62" s="29" t="s">
        <v>214</v>
      </c>
      <c r="H62" s="30" t="s">
        <v>15</v>
      </c>
      <c r="I62" s="21"/>
      <c r="J62" s="22"/>
      <c r="K62" s="75"/>
    </row>
    <row r="63" spans="1:11" ht="13.2" x14ac:dyDescent="0.25">
      <c r="A63" s="17"/>
      <c r="B63" s="28">
        <v>5</v>
      </c>
      <c r="C63" s="29" t="s">
        <v>586</v>
      </c>
      <c r="D63" s="78" t="s">
        <v>41</v>
      </c>
      <c r="E63" s="81"/>
      <c r="F63" s="80">
        <v>6</v>
      </c>
      <c r="G63" s="29" t="s">
        <v>210</v>
      </c>
      <c r="H63" s="30" t="s">
        <v>41</v>
      </c>
      <c r="I63" s="21"/>
      <c r="J63" s="22"/>
      <c r="K63" s="75"/>
    </row>
    <row r="64" spans="1:11" ht="13.2" x14ac:dyDescent="0.25">
      <c r="A64" s="17"/>
      <c r="B64" s="28">
        <v>7</v>
      </c>
      <c r="C64" s="29" t="s">
        <v>585</v>
      </c>
      <c r="D64" s="78" t="s">
        <v>15</v>
      </c>
      <c r="E64" s="81"/>
      <c r="F64" s="80">
        <v>8</v>
      </c>
      <c r="G64" s="29" t="s">
        <v>217</v>
      </c>
      <c r="H64" s="30" t="s">
        <v>15</v>
      </c>
      <c r="I64" s="21"/>
      <c r="J64" s="22"/>
      <c r="K64" s="75"/>
    </row>
    <row r="65" spans="1:11" ht="13.2" x14ac:dyDescent="0.25">
      <c r="A65" s="17"/>
      <c r="B65" s="28">
        <v>9</v>
      </c>
      <c r="C65" s="29" t="s">
        <v>584</v>
      </c>
      <c r="D65" s="78" t="s">
        <v>15</v>
      </c>
      <c r="E65" s="82"/>
      <c r="F65" s="80">
        <v>10</v>
      </c>
      <c r="G65" s="29" t="s">
        <v>216</v>
      </c>
      <c r="H65" s="30" t="s">
        <v>15</v>
      </c>
      <c r="I65" s="21"/>
      <c r="J65" s="22"/>
      <c r="K65" s="75"/>
    </row>
    <row r="66" spans="1:11" ht="13.2" x14ac:dyDescent="0.25">
      <c r="B66" s="35" t="s">
        <v>18</v>
      </c>
      <c r="C66" s="83"/>
      <c r="D66" s="35" t="s">
        <v>218</v>
      </c>
      <c r="E66" s="83"/>
      <c r="F66" s="83"/>
      <c r="G66" s="84"/>
      <c r="H66" s="85"/>
      <c r="I66" s="86"/>
      <c r="J66" s="22"/>
      <c r="K66" s="75"/>
    </row>
    <row r="67" spans="1:11" ht="13.2" x14ac:dyDescent="0.25">
      <c r="I67" s="86"/>
      <c r="J67" s="22"/>
      <c r="K67" s="75"/>
    </row>
    <row r="68" spans="1:11" ht="15.6" x14ac:dyDescent="0.25">
      <c r="A68" s="23">
        <v>9</v>
      </c>
      <c r="B68" s="97" t="s">
        <v>438</v>
      </c>
      <c r="C68" s="98"/>
      <c r="D68" s="98"/>
      <c r="E68" s="98"/>
      <c r="F68" s="98"/>
      <c r="G68" s="98"/>
      <c r="H68" s="99"/>
      <c r="I68" s="76" t="s">
        <v>765</v>
      </c>
      <c r="J68" s="26">
        <f ca="1">IF($K68=2000,,RANK(K68,$K$4:$K$224,TRUE))</f>
        <v>9</v>
      </c>
      <c r="K68" s="77">
        <f ca="1">IFERROR(__xludf.DUMMYFUNCTION("IF(REGEXMATCH(I68,""^\d{1,2}:\d\d,\d{1,2}""),VALUE(LEFT($I68,SEARCH("":"",I68)-1))*60+VALUE(MID($I68,SEARCH("":"",I68)+1,LEN($I68))),2000)"),335)</f>
        <v>335</v>
      </c>
    </row>
    <row r="69" spans="1:11" ht="13.2" x14ac:dyDescent="0.25">
      <c r="A69" s="17"/>
      <c r="B69" s="28">
        <v>1</v>
      </c>
      <c r="C69" s="29" t="s">
        <v>685</v>
      </c>
      <c r="D69" s="78" t="s">
        <v>10</v>
      </c>
      <c r="E69" s="79"/>
      <c r="F69" s="80">
        <v>2</v>
      </c>
      <c r="G69" s="29" t="s">
        <v>766</v>
      </c>
      <c r="H69" s="30" t="s">
        <v>15</v>
      </c>
      <c r="I69" s="21"/>
      <c r="J69" s="22"/>
      <c r="K69" s="75"/>
    </row>
    <row r="70" spans="1:11" ht="13.2" x14ac:dyDescent="0.25">
      <c r="A70" s="17"/>
      <c r="B70" s="28">
        <v>3</v>
      </c>
      <c r="C70" s="29" t="s">
        <v>681</v>
      </c>
      <c r="D70" s="78" t="s">
        <v>10</v>
      </c>
      <c r="E70" s="81"/>
      <c r="F70" s="80">
        <v>4</v>
      </c>
      <c r="G70" s="29" t="s">
        <v>767</v>
      </c>
      <c r="H70" s="30" t="s">
        <v>15</v>
      </c>
      <c r="I70" s="21"/>
      <c r="J70" s="22"/>
      <c r="K70" s="75"/>
    </row>
    <row r="71" spans="1:11" ht="13.2" x14ac:dyDescent="0.25">
      <c r="A71" s="17"/>
      <c r="B71" s="28">
        <v>5</v>
      </c>
      <c r="C71" s="29" t="s">
        <v>768</v>
      </c>
      <c r="D71" s="78" t="s">
        <v>10</v>
      </c>
      <c r="E71" s="81"/>
      <c r="F71" s="80">
        <v>6</v>
      </c>
      <c r="G71" s="29" t="s">
        <v>769</v>
      </c>
      <c r="H71" s="30" t="s">
        <v>15</v>
      </c>
      <c r="I71" s="21"/>
      <c r="J71" s="22"/>
      <c r="K71" s="75"/>
    </row>
    <row r="72" spans="1:11" ht="13.2" x14ac:dyDescent="0.25">
      <c r="A72" s="17"/>
      <c r="B72" s="28">
        <v>7</v>
      </c>
      <c r="C72" s="29" t="s">
        <v>770</v>
      </c>
      <c r="D72" s="78" t="s">
        <v>15</v>
      </c>
      <c r="E72" s="81"/>
      <c r="F72" s="80">
        <v>8</v>
      </c>
      <c r="G72" s="29" t="s">
        <v>771</v>
      </c>
      <c r="H72" s="30" t="s">
        <v>41</v>
      </c>
      <c r="I72" s="21"/>
      <c r="J72" s="22"/>
      <c r="K72" s="75"/>
    </row>
    <row r="73" spans="1:11" ht="13.2" x14ac:dyDescent="0.25">
      <c r="A73" s="17"/>
      <c r="B73" s="28">
        <v>9</v>
      </c>
      <c r="C73" s="29" t="s">
        <v>772</v>
      </c>
      <c r="D73" s="78" t="s">
        <v>10</v>
      </c>
      <c r="E73" s="82"/>
      <c r="F73" s="80">
        <v>10</v>
      </c>
      <c r="G73" s="29" t="s">
        <v>773</v>
      </c>
      <c r="H73" s="30" t="s">
        <v>10</v>
      </c>
      <c r="I73" s="21"/>
      <c r="J73" s="22"/>
      <c r="K73" s="75"/>
    </row>
    <row r="74" spans="1:11" ht="13.2" x14ac:dyDescent="0.25">
      <c r="B74" s="35" t="s">
        <v>18</v>
      </c>
      <c r="C74" s="83"/>
      <c r="D74" s="35" t="s">
        <v>449</v>
      </c>
      <c r="E74" s="83"/>
      <c r="F74" s="83"/>
      <c r="G74" s="84"/>
      <c r="H74" s="85"/>
      <c r="I74" s="86"/>
      <c r="J74" s="22"/>
      <c r="K74" s="75"/>
    </row>
    <row r="75" spans="1:11" ht="13.2" x14ac:dyDescent="0.25">
      <c r="I75" s="86"/>
      <c r="J75" s="22"/>
      <c r="K75" s="75"/>
    </row>
    <row r="76" spans="1:11" ht="15.6" x14ac:dyDescent="0.25">
      <c r="A76" s="23">
        <v>10</v>
      </c>
      <c r="B76" s="97" t="s">
        <v>463</v>
      </c>
      <c r="C76" s="98"/>
      <c r="D76" s="98"/>
      <c r="E76" s="98"/>
      <c r="F76" s="98"/>
      <c r="G76" s="98"/>
      <c r="H76" s="99"/>
      <c r="I76" s="76" t="s">
        <v>774</v>
      </c>
      <c r="J76" s="26">
        <f ca="1">IF($K76=2000,,RANK(K76,$K$4:$K$224,TRUE))</f>
        <v>10</v>
      </c>
      <c r="K76" s="77">
        <f ca="1">IFERROR(__xludf.DUMMYFUNCTION("IF(REGEXMATCH(I76,""^\d{1,2}:\d\d,\d{1,2}""),VALUE(LEFT($I76,SEARCH("":"",I76)-1))*60+VALUE(MID($I76,SEARCH("":"",I76)+1,LEN($I76))),2000)"),361.2)</f>
        <v>361.2</v>
      </c>
    </row>
    <row r="77" spans="1:11" ht="13.2" x14ac:dyDescent="0.25">
      <c r="A77" s="17"/>
      <c r="B77" s="28">
        <v>1</v>
      </c>
      <c r="C77" s="29" t="s">
        <v>775</v>
      </c>
      <c r="D77" s="78" t="s">
        <v>371</v>
      </c>
      <c r="E77" s="79"/>
      <c r="F77" s="80">
        <v>2</v>
      </c>
      <c r="G77" s="29" t="s">
        <v>468</v>
      </c>
      <c r="H77" s="30" t="s">
        <v>41</v>
      </c>
      <c r="I77" s="21"/>
      <c r="J77" s="22"/>
      <c r="K77" s="75"/>
    </row>
    <row r="78" spans="1:11" ht="13.2" x14ac:dyDescent="0.25">
      <c r="A78" s="17"/>
      <c r="B78" s="28">
        <v>3</v>
      </c>
      <c r="C78" s="29" t="s">
        <v>776</v>
      </c>
      <c r="D78" s="78" t="s">
        <v>371</v>
      </c>
      <c r="E78" s="81"/>
      <c r="F78" s="80">
        <v>4</v>
      </c>
      <c r="G78" s="29" t="s">
        <v>777</v>
      </c>
      <c r="H78" s="30" t="s">
        <v>10</v>
      </c>
      <c r="I78" s="21"/>
      <c r="J78" s="22"/>
      <c r="K78" s="75"/>
    </row>
    <row r="79" spans="1:11" ht="13.2" x14ac:dyDescent="0.25">
      <c r="A79" s="17"/>
      <c r="B79" s="28">
        <v>5</v>
      </c>
      <c r="C79" s="29" t="s">
        <v>778</v>
      </c>
      <c r="D79" s="78" t="s">
        <v>371</v>
      </c>
      <c r="E79" s="81"/>
      <c r="F79" s="80">
        <v>6</v>
      </c>
      <c r="G79" s="29" t="s">
        <v>779</v>
      </c>
      <c r="H79" s="30" t="s">
        <v>10</v>
      </c>
      <c r="I79" s="21"/>
      <c r="J79" s="22"/>
      <c r="K79" s="75"/>
    </row>
    <row r="80" spans="1:11" ht="13.2" x14ac:dyDescent="0.25">
      <c r="A80" s="17"/>
      <c r="B80" s="28">
        <v>7</v>
      </c>
      <c r="C80" s="29" t="s">
        <v>780</v>
      </c>
      <c r="D80" s="78" t="s">
        <v>41</v>
      </c>
      <c r="E80" s="81"/>
      <c r="F80" s="80">
        <v>8</v>
      </c>
      <c r="G80" s="29" t="s">
        <v>781</v>
      </c>
      <c r="H80" s="30" t="s">
        <v>10</v>
      </c>
      <c r="I80" s="21"/>
      <c r="J80" s="22"/>
      <c r="K80" s="75"/>
    </row>
    <row r="81" spans="1:11" ht="13.2" x14ac:dyDescent="0.25">
      <c r="A81" s="17"/>
      <c r="B81" s="28">
        <v>9</v>
      </c>
      <c r="C81" s="29" t="s">
        <v>782</v>
      </c>
      <c r="D81" s="78" t="s">
        <v>41</v>
      </c>
      <c r="E81" s="82"/>
      <c r="F81" s="80">
        <v>10</v>
      </c>
      <c r="G81" s="29" t="s">
        <v>466</v>
      </c>
      <c r="H81" s="30" t="s">
        <v>371</v>
      </c>
      <c r="I81" s="21"/>
      <c r="J81" s="22"/>
      <c r="K81" s="75"/>
    </row>
    <row r="82" spans="1:11" ht="13.2" x14ac:dyDescent="0.25">
      <c r="B82" s="35" t="s">
        <v>18</v>
      </c>
      <c r="C82" s="83"/>
      <c r="D82" s="35" t="s">
        <v>474</v>
      </c>
      <c r="E82" s="83"/>
      <c r="F82" s="83"/>
      <c r="G82" s="84"/>
      <c r="H82" s="85"/>
      <c r="I82" s="86"/>
      <c r="J82" s="22"/>
      <c r="K82" s="75"/>
    </row>
    <row r="83" spans="1:11" ht="13.2" x14ac:dyDescent="0.25">
      <c r="I83" s="86"/>
      <c r="J83" s="22"/>
      <c r="K83" s="75"/>
    </row>
    <row r="84" spans="1:11" ht="15.6" x14ac:dyDescent="0.25">
      <c r="A84" s="23">
        <v>11</v>
      </c>
      <c r="B84" s="97" t="s">
        <v>29</v>
      </c>
      <c r="C84" s="98"/>
      <c r="D84" s="98"/>
      <c r="E84" s="98"/>
      <c r="F84" s="98"/>
      <c r="G84" s="98"/>
      <c r="H84" s="99"/>
      <c r="I84" s="76"/>
      <c r="J84" s="26">
        <f ca="1">IF($K84=2000,,RANK(K84,$K$4:$K$224,TRUE))</f>
        <v>0</v>
      </c>
      <c r="K84" s="77">
        <f ca="1">IFERROR(__xludf.DUMMYFUNCTION("IF(REGEXMATCH(I84,""^\d{1,2}:\d\d,\d{1,2}""),VALUE(LEFT($I84,SEARCH("":"",I84)-1))*60+VALUE(MID($I84,SEARCH("":"",I84)+1,LEN($I84))),2000)"),2000)</f>
        <v>2000</v>
      </c>
    </row>
    <row r="85" spans="1:11" ht="13.2" x14ac:dyDescent="0.25">
      <c r="A85" s="17"/>
      <c r="B85" s="28">
        <v>1</v>
      </c>
      <c r="C85" s="29" t="s">
        <v>783</v>
      </c>
      <c r="D85" s="78" t="s">
        <v>10</v>
      </c>
      <c r="E85" s="79"/>
      <c r="F85" s="80">
        <v>2</v>
      </c>
      <c r="G85" s="29" t="s">
        <v>30</v>
      </c>
      <c r="H85" s="30" t="s">
        <v>10</v>
      </c>
      <c r="I85" s="21"/>
      <c r="J85" s="22"/>
      <c r="K85" s="75"/>
    </row>
    <row r="86" spans="1:11" ht="13.2" x14ac:dyDescent="0.25">
      <c r="A86" s="17"/>
      <c r="B86" s="28">
        <v>3</v>
      </c>
      <c r="C86" s="29" t="s">
        <v>784</v>
      </c>
      <c r="D86" s="78" t="s">
        <v>10</v>
      </c>
      <c r="E86" s="81"/>
      <c r="F86" s="80">
        <v>4</v>
      </c>
      <c r="G86" s="29" t="s">
        <v>35</v>
      </c>
      <c r="H86" s="30" t="s">
        <v>10</v>
      </c>
      <c r="I86" s="21"/>
      <c r="J86" s="22"/>
      <c r="K86" s="75"/>
    </row>
    <row r="87" spans="1:11" ht="13.2" x14ac:dyDescent="0.25">
      <c r="A87" s="17"/>
      <c r="B87" s="28">
        <v>5</v>
      </c>
      <c r="C87" s="29" t="s">
        <v>785</v>
      </c>
      <c r="D87" s="78" t="s">
        <v>10</v>
      </c>
      <c r="E87" s="81"/>
      <c r="F87" s="80">
        <v>6</v>
      </c>
      <c r="G87" s="29" t="s">
        <v>786</v>
      </c>
      <c r="H87" s="30" t="s">
        <v>10</v>
      </c>
      <c r="I87" s="21"/>
      <c r="J87" s="22"/>
      <c r="K87" s="75"/>
    </row>
    <row r="88" spans="1:11" ht="13.2" x14ac:dyDescent="0.25">
      <c r="A88" s="17"/>
      <c r="B88" s="28">
        <v>7</v>
      </c>
      <c r="C88" s="29" t="s">
        <v>787</v>
      </c>
      <c r="D88" s="78" t="s">
        <v>10</v>
      </c>
      <c r="E88" s="81"/>
      <c r="F88" s="80">
        <v>8</v>
      </c>
      <c r="G88" s="29" t="s">
        <v>32</v>
      </c>
      <c r="H88" s="30" t="s">
        <v>10</v>
      </c>
      <c r="I88" s="21"/>
      <c r="J88" s="22"/>
      <c r="K88" s="75"/>
    </row>
    <row r="89" spans="1:11" ht="13.2" x14ac:dyDescent="0.25">
      <c r="A89" s="17"/>
      <c r="B89" s="28">
        <v>9</v>
      </c>
      <c r="C89" s="29" t="s">
        <v>788</v>
      </c>
      <c r="D89" s="78" t="s">
        <v>15</v>
      </c>
      <c r="E89" s="82"/>
      <c r="F89" s="80">
        <v>10</v>
      </c>
      <c r="G89" s="29" t="s">
        <v>31</v>
      </c>
      <c r="H89" s="30" t="s">
        <v>10</v>
      </c>
      <c r="I89" s="21"/>
      <c r="J89" s="22"/>
      <c r="K89" s="75"/>
    </row>
    <row r="90" spans="1:11" ht="13.2" x14ac:dyDescent="0.25">
      <c r="B90" s="35" t="s">
        <v>18</v>
      </c>
      <c r="C90" s="83"/>
      <c r="D90" s="35" t="s">
        <v>36</v>
      </c>
      <c r="E90" s="83"/>
      <c r="F90" s="83"/>
      <c r="G90" s="84"/>
      <c r="H90" s="85"/>
      <c r="I90" s="86"/>
      <c r="J90" s="22"/>
      <c r="K90" s="75"/>
    </row>
    <row r="91" spans="1:11" ht="13.2" x14ac:dyDescent="0.25">
      <c r="I91" s="86"/>
      <c r="J91" s="22"/>
      <c r="K91" s="75"/>
    </row>
    <row r="92" spans="1:11" ht="15.6" x14ac:dyDescent="0.25">
      <c r="A92" s="23">
        <v>12</v>
      </c>
      <c r="B92" s="97"/>
      <c r="C92" s="98"/>
      <c r="D92" s="98"/>
      <c r="E92" s="98"/>
      <c r="F92" s="98"/>
      <c r="G92" s="98"/>
      <c r="H92" s="99"/>
      <c r="I92" s="76"/>
      <c r="J92" s="26">
        <f ca="1">IF($K92=2000,,RANK(K92,$K$4:$K$224,TRUE))</f>
        <v>0</v>
      </c>
      <c r="K92" s="77">
        <f ca="1">IFERROR(__xludf.DUMMYFUNCTION("IF(REGEXMATCH(I92,""^\d{1,2}:\d\d,\d{1,2}""),VALUE(LEFT($I92,SEARCH("":"",I92)-1))*60+VALUE(MID($I92,SEARCH("":"",I92)+1,LEN($I92))),2000)"),2000)</f>
        <v>2000</v>
      </c>
    </row>
    <row r="93" spans="1:11" ht="13.2" x14ac:dyDescent="0.25">
      <c r="A93" s="17"/>
      <c r="B93" s="28">
        <v>1</v>
      </c>
      <c r="C93" s="29"/>
      <c r="D93" s="78"/>
      <c r="E93" s="79"/>
      <c r="F93" s="80">
        <v>2</v>
      </c>
      <c r="G93" s="29"/>
      <c r="H93" s="30"/>
      <c r="I93" s="21"/>
      <c r="J93" s="22"/>
      <c r="K93" s="75"/>
    </row>
    <row r="94" spans="1:11" ht="13.2" x14ac:dyDescent="0.25">
      <c r="A94" s="17"/>
      <c r="B94" s="28">
        <v>3</v>
      </c>
      <c r="C94" s="29"/>
      <c r="D94" s="78"/>
      <c r="E94" s="81"/>
      <c r="F94" s="80">
        <v>4</v>
      </c>
      <c r="G94" s="29"/>
      <c r="H94" s="30"/>
      <c r="I94" s="21"/>
      <c r="J94" s="22"/>
      <c r="K94" s="75"/>
    </row>
    <row r="95" spans="1:11" ht="13.2" x14ac:dyDescent="0.25">
      <c r="A95" s="17"/>
      <c r="B95" s="28">
        <v>5</v>
      </c>
      <c r="C95" s="29"/>
      <c r="D95" s="78"/>
      <c r="E95" s="81"/>
      <c r="F95" s="80">
        <v>6</v>
      </c>
      <c r="G95" s="29"/>
      <c r="H95" s="30"/>
      <c r="I95" s="21"/>
      <c r="J95" s="22"/>
      <c r="K95" s="75"/>
    </row>
    <row r="96" spans="1:11" ht="13.2" x14ac:dyDescent="0.25">
      <c r="A96" s="17"/>
      <c r="B96" s="28">
        <v>7</v>
      </c>
      <c r="C96" s="29"/>
      <c r="D96" s="78"/>
      <c r="E96" s="81"/>
      <c r="F96" s="80">
        <v>8</v>
      </c>
      <c r="G96" s="29"/>
      <c r="H96" s="30"/>
      <c r="I96" s="21"/>
      <c r="J96" s="22"/>
      <c r="K96" s="75"/>
    </row>
    <row r="97" spans="1:11" ht="13.2" x14ac:dyDescent="0.25">
      <c r="A97" s="17"/>
      <c r="B97" s="28">
        <v>9</v>
      </c>
      <c r="C97" s="29"/>
      <c r="D97" s="78"/>
      <c r="E97" s="82"/>
      <c r="F97" s="80">
        <v>10</v>
      </c>
      <c r="G97" s="29"/>
      <c r="H97" s="30"/>
      <c r="I97" s="21"/>
      <c r="J97" s="22"/>
      <c r="K97" s="75"/>
    </row>
    <row r="98" spans="1:11" ht="13.2" x14ac:dyDescent="0.25">
      <c r="B98" s="35" t="s">
        <v>18</v>
      </c>
      <c r="C98" s="83"/>
      <c r="D98" s="35" t="s">
        <v>789</v>
      </c>
      <c r="E98" s="83"/>
      <c r="F98" s="83"/>
      <c r="G98" s="84"/>
      <c r="H98" s="85"/>
      <c r="I98" s="86"/>
      <c r="J98" s="22"/>
      <c r="K98" s="75"/>
    </row>
    <row r="99" spans="1:11" ht="13.2" x14ac:dyDescent="0.25">
      <c r="I99" s="86"/>
      <c r="J99" s="22"/>
      <c r="K99" s="75"/>
    </row>
    <row r="100" spans="1:11" ht="15.6" x14ac:dyDescent="0.25">
      <c r="A100" s="23">
        <v>13</v>
      </c>
      <c r="B100" s="97"/>
      <c r="C100" s="98"/>
      <c r="D100" s="98"/>
      <c r="E100" s="98"/>
      <c r="F100" s="98"/>
      <c r="G100" s="98"/>
      <c r="H100" s="99"/>
      <c r="I100" s="76"/>
      <c r="J100" s="26">
        <f ca="1">IF($K100=2000,,RANK(K100,$K$4:$K$224,TRUE))</f>
        <v>0</v>
      </c>
      <c r="K100" s="77">
        <f ca="1">IFERROR(__xludf.DUMMYFUNCTION("IF(REGEXMATCH(I100,""^\d{1,2}:\d\d,\d{1,2}""),VALUE(LEFT($I100,SEARCH("":"",I100)-1))*60+VALUE(MID($I100,SEARCH("":"",I100)+1,LEN($I100))),2000)"),2000)</f>
        <v>2000</v>
      </c>
    </row>
    <row r="101" spans="1:11" ht="13.2" x14ac:dyDescent="0.25">
      <c r="A101" s="17"/>
      <c r="B101" s="28">
        <v>1</v>
      </c>
      <c r="C101" s="29"/>
      <c r="D101" s="78"/>
      <c r="E101" s="79"/>
      <c r="F101" s="80">
        <v>2</v>
      </c>
      <c r="G101" s="29"/>
      <c r="H101" s="30"/>
      <c r="I101" s="21"/>
      <c r="J101" s="22"/>
      <c r="K101" s="75"/>
    </row>
    <row r="102" spans="1:11" ht="13.2" x14ac:dyDescent="0.25">
      <c r="A102" s="17"/>
      <c r="B102" s="28">
        <v>3</v>
      </c>
      <c r="C102" s="29"/>
      <c r="D102" s="78"/>
      <c r="E102" s="81"/>
      <c r="F102" s="80">
        <v>4</v>
      </c>
      <c r="G102" s="29"/>
      <c r="H102" s="30"/>
      <c r="I102" s="21"/>
      <c r="J102" s="22"/>
      <c r="K102" s="75"/>
    </row>
    <row r="103" spans="1:11" ht="13.2" x14ac:dyDescent="0.25">
      <c r="A103" s="17"/>
      <c r="B103" s="28">
        <v>5</v>
      </c>
      <c r="C103" s="29"/>
      <c r="D103" s="78"/>
      <c r="E103" s="81"/>
      <c r="F103" s="80">
        <v>6</v>
      </c>
      <c r="G103" s="29"/>
      <c r="H103" s="30"/>
      <c r="I103" s="21"/>
      <c r="J103" s="22"/>
      <c r="K103" s="75"/>
    </row>
    <row r="104" spans="1:11" ht="13.2" x14ac:dyDescent="0.25">
      <c r="A104" s="17"/>
      <c r="B104" s="28">
        <v>7</v>
      </c>
      <c r="C104" s="29"/>
      <c r="D104" s="78"/>
      <c r="E104" s="81"/>
      <c r="F104" s="80">
        <v>8</v>
      </c>
      <c r="G104" s="29"/>
      <c r="H104" s="30"/>
      <c r="I104" s="21"/>
      <c r="J104" s="22"/>
      <c r="K104" s="75"/>
    </row>
    <row r="105" spans="1:11" ht="13.2" x14ac:dyDescent="0.25">
      <c r="A105" s="17"/>
      <c r="B105" s="28">
        <v>9</v>
      </c>
      <c r="C105" s="29"/>
      <c r="D105" s="78"/>
      <c r="E105" s="82"/>
      <c r="F105" s="80">
        <v>10</v>
      </c>
      <c r="G105" s="29"/>
      <c r="H105" s="30"/>
      <c r="I105" s="21"/>
      <c r="J105" s="22"/>
      <c r="K105" s="75"/>
    </row>
    <row r="106" spans="1:11" ht="13.2" x14ac:dyDescent="0.25">
      <c r="B106" s="35" t="s">
        <v>18</v>
      </c>
      <c r="C106" s="83"/>
      <c r="D106" s="35" t="s">
        <v>789</v>
      </c>
      <c r="E106" s="83"/>
      <c r="F106" s="83"/>
      <c r="G106" s="84"/>
      <c r="H106" s="85"/>
      <c r="I106" s="86"/>
      <c r="J106" s="22"/>
      <c r="K106" s="75"/>
    </row>
    <row r="107" spans="1:11" ht="13.2" x14ac:dyDescent="0.25">
      <c r="I107" s="86"/>
      <c r="J107" s="22"/>
      <c r="K107" s="75"/>
    </row>
    <row r="108" spans="1:11" ht="15.6" x14ac:dyDescent="0.25">
      <c r="A108" s="23">
        <v>14</v>
      </c>
      <c r="B108" s="97"/>
      <c r="C108" s="98"/>
      <c r="D108" s="98"/>
      <c r="E108" s="98"/>
      <c r="F108" s="98"/>
      <c r="G108" s="98"/>
      <c r="H108" s="99"/>
      <c r="I108" s="76"/>
      <c r="J108" s="26">
        <f ca="1">IF($K108=2000,,RANK(K108,$K$4:$K$224,TRUE))</f>
        <v>0</v>
      </c>
      <c r="K108" s="77">
        <f ca="1">IFERROR(__xludf.DUMMYFUNCTION("IF(REGEXMATCH(I108,""^\d{1,2}:\d\d,\d{1,2}""),VALUE(LEFT($I108,SEARCH("":"",I108)-1))*60+VALUE(MID($I108,SEARCH("":"",I108)+1,LEN($I108))),2000)"),2000)</f>
        <v>2000</v>
      </c>
    </row>
    <row r="109" spans="1:11" ht="13.2" x14ac:dyDescent="0.25">
      <c r="A109" s="17"/>
      <c r="B109" s="28">
        <v>1</v>
      </c>
      <c r="C109" s="29"/>
      <c r="D109" s="78"/>
      <c r="E109" s="79"/>
      <c r="F109" s="80">
        <v>2</v>
      </c>
      <c r="G109" s="29"/>
      <c r="H109" s="30"/>
      <c r="I109" s="21"/>
      <c r="J109" s="22"/>
      <c r="K109" s="75"/>
    </row>
    <row r="110" spans="1:11" ht="13.2" x14ac:dyDescent="0.25">
      <c r="A110" s="17"/>
      <c r="B110" s="28">
        <v>3</v>
      </c>
      <c r="C110" s="29"/>
      <c r="D110" s="78"/>
      <c r="E110" s="81"/>
      <c r="F110" s="80">
        <v>4</v>
      </c>
      <c r="G110" s="29"/>
      <c r="H110" s="30"/>
      <c r="I110" s="21"/>
      <c r="J110" s="22"/>
      <c r="K110" s="75"/>
    </row>
    <row r="111" spans="1:11" ht="13.2" x14ac:dyDescent="0.25">
      <c r="A111" s="17"/>
      <c r="B111" s="28">
        <v>5</v>
      </c>
      <c r="C111" s="29"/>
      <c r="D111" s="78"/>
      <c r="E111" s="81"/>
      <c r="F111" s="80">
        <v>6</v>
      </c>
      <c r="G111" s="29"/>
      <c r="H111" s="30"/>
      <c r="I111" s="21"/>
      <c r="J111" s="22"/>
      <c r="K111" s="75"/>
    </row>
    <row r="112" spans="1:11" ht="13.2" x14ac:dyDescent="0.25">
      <c r="A112" s="17"/>
      <c r="B112" s="28">
        <v>7</v>
      </c>
      <c r="C112" s="29"/>
      <c r="D112" s="78"/>
      <c r="E112" s="81"/>
      <c r="F112" s="80">
        <v>8</v>
      </c>
      <c r="G112" s="29"/>
      <c r="H112" s="30"/>
      <c r="I112" s="21"/>
      <c r="J112" s="22"/>
      <c r="K112" s="75"/>
    </row>
    <row r="113" spans="1:11" ht="13.2" x14ac:dyDescent="0.25">
      <c r="A113" s="17"/>
      <c r="B113" s="28">
        <v>9</v>
      </c>
      <c r="C113" s="29"/>
      <c r="D113" s="78"/>
      <c r="E113" s="82"/>
      <c r="F113" s="80">
        <v>10</v>
      </c>
      <c r="G113" s="29"/>
      <c r="H113" s="30"/>
      <c r="I113" s="21"/>
      <c r="J113" s="22"/>
      <c r="K113" s="75"/>
    </row>
    <row r="114" spans="1:11" ht="13.2" x14ac:dyDescent="0.25">
      <c r="B114" s="35" t="s">
        <v>18</v>
      </c>
      <c r="C114" s="83"/>
      <c r="D114" s="35" t="s">
        <v>789</v>
      </c>
      <c r="E114" s="83"/>
      <c r="F114" s="83"/>
      <c r="G114" s="84"/>
      <c r="H114" s="85"/>
      <c r="I114" s="86"/>
      <c r="J114" s="22"/>
      <c r="K114" s="75"/>
    </row>
    <row r="115" spans="1:11" ht="13.2" x14ac:dyDescent="0.25">
      <c r="I115" s="86"/>
      <c r="J115" s="22"/>
      <c r="K115" s="75"/>
    </row>
    <row r="116" spans="1:11" ht="15.6" x14ac:dyDescent="0.25">
      <c r="A116" s="23">
        <v>15</v>
      </c>
      <c r="B116" s="97"/>
      <c r="C116" s="98"/>
      <c r="D116" s="98"/>
      <c r="E116" s="98"/>
      <c r="F116" s="98"/>
      <c r="G116" s="98"/>
      <c r="H116" s="99"/>
      <c r="I116" s="76"/>
      <c r="J116" s="26">
        <f ca="1">IF($K116=2000,,RANK(K116,$K$4:$K$224,TRUE))</f>
        <v>0</v>
      </c>
      <c r="K116" s="77">
        <f ca="1">IFERROR(__xludf.DUMMYFUNCTION("IF(REGEXMATCH(I116,""^\d{1,2}:\d\d,\d{1,2}""),VALUE(LEFT($I116,SEARCH("":"",I116)-1))*60+VALUE(MID($I116,SEARCH("":"",I116)+1,LEN($I116))),2000)"),2000)</f>
        <v>2000</v>
      </c>
    </row>
    <row r="117" spans="1:11" ht="13.2" x14ac:dyDescent="0.25">
      <c r="A117" s="17"/>
      <c r="B117" s="28">
        <v>1</v>
      </c>
      <c r="C117" s="29"/>
      <c r="D117" s="78"/>
      <c r="E117" s="79"/>
      <c r="F117" s="80">
        <v>2</v>
      </c>
      <c r="G117" s="29"/>
      <c r="H117" s="30"/>
      <c r="I117" s="21"/>
      <c r="J117" s="22"/>
      <c r="K117" s="75"/>
    </row>
    <row r="118" spans="1:11" ht="13.2" x14ac:dyDescent="0.25">
      <c r="A118" s="17"/>
      <c r="B118" s="28">
        <v>3</v>
      </c>
      <c r="C118" s="29"/>
      <c r="D118" s="78"/>
      <c r="E118" s="81"/>
      <c r="F118" s="80">
        <v>4</v>
      </c>
      <c r="G118" s="29"/>
      <c r="H118" s="30"/>
      <c r="I118" s="21"/>
      <c r="J118" s="22"/>
      <c r="K118" s="75"/>
    </row>
    <row r="119" spans="1:11" ht="13.2" x14ac:dyDescent="0.25">
      <c r="A119" s="17"/>
      <c r="B119" s="28">
        <v>5</v>
      </c>
      <c r="C119" s="29"/>
      <c r="D119" s="78"/>
      <c r="E119" s="81"/>
      <c r="F119" s="80">
        <v>6</v>
      </c>
      <c r="G119" s="29"/>
      <c r="H119" s="30"/>
      <c r="I119" s="21"/>
      <c r="J119" s="22"/>
      <c r="K119" s="75"/>
    </row>
    <row r="120" spans="1:11" ht="13.2" x14ac:dyDescent="0.25">
      <c r="A120" s="17"/>
      <c r="B120" s="28">
        <v>7</v>
      </c>
      <c r="C120" s="29"/>
      <c r="D120" s="78"/>
      <c r="E120" s="81"/>
      <c r="F120" s="80">
        <v>8</v>
      </c>
      <c r="G120" s="29"/>
      <c r="H120" s="30"/>
      <c r="I120" s="21"/>
      <c r="J120" s="22"/>
      <c r="K120" s="75"/>
    </row>
    <row r="121" spans="1:11" ht="13.2" x14ac:dyDescent="0.25">
      <c r="A121" s="17"/>
      <c r="B121" s="28">
        <v>9</v>
      </c>
      <c r="C121" s="29"/>
      <c r="D121" s="78"/>
      <c r="E121" s="82"/>
      <c r="F121" s="80">
        <v>10</v>
      </c>
      <c r="G121" s="29"/>
      <c r="H121" s="30"/>
      <c r="I121" s="21"/>
      <c r="J121" s="22"/>
      <c r="K121" s="75"/>
    </row>
    <row r="122" spans="1:11" ht="13.2" x14ac:dyDescent="0.25">
      <c r="B122" s="35" t="s">
        <v>18</v>
      </c>
      <c r="C122" s="83"/>
      <c r="D122" s="35" t="s">
        <v>789</v>
      </c>
      <c r="E122" s="83"/>
      <c r="F122" s="83"/>
      <c r="G122" s="84"/>
      <c r="H122" s="85"/>
      <c r="I122" s="86"/>
      <c r="J122" s="22"/>
      <c r="K122" s="75"/>
    </row>
    <row r="123" spans="1:11" ht="13.2" x14ac:dyDescent="0.25">
      <c r="I123" s="86"/>
      <c r="J123" s="22"/>
      <c r="K123" s="75"/>
    </row>
    <row r="124" spans="1:11" ht="15.6" x14ac:dyDescent="0.25">
      <c r="A124" s="23">
        <v>16</v>
      </c>
      <c r="B124" s="97"/>
      <c r="C124" s="98"/>
      <c r="D124" s="98"/>
      <c r="E124" s="98"/>
      <c r="F124" s="98"/>
      <c r="G124" s="98"/>
      <c r="H124" s="99"/>
      <c r="I124" s="76"/>
      <c r="J124" s="26">
        <f ca="1">IF($K124=2000,,RANK(K124,$K$4:$K$224,TRUE))</f>
        <v>0</v>
      </c>
      <c r="K124" s="77">
        <f ca="1">IFERROR(__xludf.DUMMYFUNCTION("IF(REGEXMATCH(I124,""^\d{1,2}:\d\d,\d{1,2}""),VALUE(LEFT($I124,SEARCH("":"",I124)-1))*60+VALUE(MID($I124,SEARCH("":"",I124)+1,LEN($I124))),2000)"),2000)</f>
        <v>2000</v>
      </c>
    </row>
    <row r="125" spans="1:11" ht="13.2" x14ac:dyDescent="0.25">
      <c r="A125" s="17"/>
      <c r="B125" s="28">
        <v>1</v>
      </c>
      <c r="C125" s="29"/>
      <c r="D125" s="78"/>
      <c r="E125" s="79"/>
      <c r="F125" s="80">
        <v>2</v>
      </c>
      <c r="G125" s="29"/>
      <c r="H125" s="30"/>
      <c r="I125" s="21"/>
      <c r="J125" s="22"/>
      <c r="K125" s="75"/>
    </row>
    <row r="126" spans="1:11" ht="13.2" x14ac:dyDescent="0.25">
      <c r="A126" s="17"/>
      <c r="B126" s="28">
        <v>3</v>
      </c>
      <c r="C126" s="29"/>
      <c r="D126" s="78"/>
      <c r="E126" s="81"/>
      <c r="F126" s="80">
        <v>4</v>
      </c>
      <c r="G126" s="29"/>
      <c r="H126" s="30"/>
      <c r="I126" s="21"/>
      <c r="J126" s="22"/>
      <c r="K126" s="75"/>
    </row>
    <row r="127" spans="1:11" ht="13.2" x14ac:dyDescent="0.25">
      <c r="A127" s="17"/>
      <c r="B127" s="28">
        <v>5</v>
      </c>
      <c r="C127" s="29"/>
      <c r="D127" s="78"/>
      <c r="E127" s="81"/>
      <c r="F127" s="80">
        <v>6</v>
      </c>
      <c r="G127" s="29"/>
      <c r="H127" s="30"/>
      <c r="I127" s="21"/>
      <c r="J127" s="22"/>
      <c r="K127" s="75"/>
    </row>
    <row r="128" spans="1:11" ht="13.2" x14ac:dyDescent="0.25">
      <c r="A128" s="17"/>
      <c r="B128" s="28">
        <v>7</v>
      </c>
      <c r="C128" s="29"/>
      <c r="D128" s="78"/>
      <c r="E128" s="81"/>
      <c r="F128" s="80">
        <v>8</v>
      </c>
      <c r="G128" s="29"/>
      <c r="H128" s="30"/>
      <c r="I128" s="21"/>
      <c r="J128" s="22"/>
      <c r="K128" s="75"/>
    </row>
    <row r="129" spans="1:11" ht="13.2" x14ac:dyDescent="0.25">
      <c r="A129" s="17"/>
      <c r="B129" s="28">
        <v>9</v>
      </c>
      <c r="C129" s="29"/>
      <c r="D129" s="78"/>
      <c r="E129" s="82"/>
      <c r="F129" s="80">
        <v>10</v>
      </c>
      <c r="G129" s="29"/>
      <c r="H129" s="30"/>
      <c r="I129" s="21"/>
      <c r="J129" s="22"/>
      <c r="K129" s="75"/>
    </row>
    <row r="130" spans="1:11" ht="13.2" x14ac:dyDescent="0.25">
      <c r="B130" s="35" t="s">
        <v>18</v>
      </c>
      <c r="C130" s="83"/>
      <c r="D130" s="35" t="s">
        <v>789</v>
      </c>
      <c r="E130" s="83"/>
      <c r="F130" s="83"/>
      <c r="G130" s="84"/>
      <c r="H130" s="85"/>
      <c r="I130" s="86"/>
      <c r="J130" s="22"/>
      <c r="K130" s="75"/>
    </row>
    <row r="131" spans="1:11" ht="13.2" x14ac:dyDescent="0.25">
      <c r="I131" s="86"/>
      <c r="J131" s="22"/>
      <c r="K131" s="75"/>
    </row>
    <row r="132" spans="1:11" ht="15.6" x14ac:dyDescent="0.25">
      <c r="A132" s="23">
        <v>17</v>
      </c>
      <c r="B132" s="97"/>
      <c r="C132" s="98"/>
      <c r="D132" s="98"/>
      <c r="E132" s="98"/>
      <c r="F132" s="98"/>
      <c r="G132" s="98"/>
      <c r="H132" s="99"/>
      <c r="I132" s="76"/>
      <c r="J132" s="26">
        <f ca="1">IF($K132=2000,,RANK(K132,$K$4:$K$224,TRUE))</f>
        <v>0</v>
      </c>
      <c r="K132" s="77">
        <f ca="1">IFERROR(__xludf.DUMMYFUNCTION("IF(REGEXMATCH(I132,""^\d{1,2}:\d\d,\d{1,2}""),VALUE(LEFT($I132,SEARCH("":"",I132)-1))*60+VALUE(MID($I132,SEARCH("":"",I132)+1,LEN($I132))),2000)"),2000)</f>
        <v>2000</v>
      </c>
    </row>
    <row r="133" spans="1:11" ht="13.2" x14ac:dyDescent="0.25">
      <c r="A133" s="17"/>
      <c r="B133" s="28">
        <v>1</v>
      </c>
      <c r="C133" s="29"/>
      <c r="D133" s="78"/>
      <c r="E133" s="79"/>
      <c r="F133" s="80">
        <v>2</v>
      </c>
      <c r="G133" s="29"/>
      <c r="H133" s="30"/>
      <c r="I133" s="21"/>
      <c r="J133" s="22"/>
      <c r="K133" s="75"/>
    </row>
    <row r="134" spans="1:11" ht="13.2" x14ac:dyDescent="0.25">
      <c r="A134" s="17"/>
      <c r="B134" s="28">
        <v>3</v>
      </c>
      <c r="C134" s="29"/>
      <c r="D134" s="78"/>
      <c r="E134" s="81"/>
      <c r="F134" s="80">
        <v>4</v>
      </c>
      <c r="G134" s="29"/>
      <c r="H134" s="30"/>
      <c r="I134" s="21"/>
      <c r="J134" s="22"/>
      <c r="K134" s="75"/>
    </row>
    <row r="135" spans="1:11" ht="13.2" x14ac:dyDescent="0.25">
      <c r="A135" s="17"/>
      <c r="B135" s="28">
        <v>5</v>
      </c>
      <c r="C135" s="29"/>
      <c r="D135" s="78"/>
      <c r="E135" s="81"/>
      <c r="F135" s="80">
        <v>6</v>
      </c>
      <c r="G135" s="29"/>
      <c r="H135" s="30"/>
      <c r="I135" s="21"/>
      <c r="J135" s="22"/>
      <c r="K135" s="75"/>
    </row>
    <row r="136" spans="1:11" ht="13.2" x14ac:dyDescent="0.25">
      <c r="A136" s="17"/>
      <c r="B136" s="28">
        <v>7</v>
      </c>
      <c r="C136" s="29"/>
      <c r="D136" s="78"/>
      <c r="E136" s="81"/>
      <c r="F136" s="80">
        <v>8</v>
      </c>
      <c r="G136" s="29"/>
      <c r="H136" s="30"/>
      <c r="I136" s="21"/>
      <c r="J136" s="22"/>
      <c r="K136" s="75"/>
    </row>
    <row r="137" spans="1:11" ht="13.2" x14ac:dyDescent="0.25">
      <c r="A137" s="17"/>
      <c r="B137" s="28">
        <v>9</v>
      </c>
      <c r="C137" s="29"/>
      <c r="D137" s="78"/>
      <c r="E137" s="82"/>
      <c r="F137" s="80">
        <v>10</v>
      </c>
      <c r="G137" s="29"/>
      <c r="H137" s="30"/>
      <c r="I137" s="21"/>
      <c r="J137" s="22"/>
      <c r="K137" s="75"/>
    </row>
    <row r="138" spans="1:11" ht="13.2" x14ac:dyDescent="0.25">
      <c r="B138" s="35" t="s">
        <v>18</v>
      </c>
      <c r="C138" s="83"/>
      <c r="D138" s="35" t="s">
        <v>789</v>
      </c>
      <c r="E138" s="83"/>
      <c r="F138" s="83"/>
      <c r="G138" s="84"/>
      <c r="H138" s="85"/>
      <c r="I138" s="86"/>
      <c r="J138" s="22"/>
      <c r="K138" s="75"/>
    </row>
    <row r="139" spans="1:11" ht="13.2" x14ac:dyDescent="0.25">
      <c r="I139" s="86"/>
      <c r="J139" s="22"/>
      <c r="K139" s="75"/>
    </row>
    <row r="140" spans="1:11" ht="15.6" x14ac:dyDescent="0.25">
      <c r="A140" s="23">
        <v>18</v>
      </c>
      <c r="B140" s="97"/>
      <c r="C140" s="98"/>
      <c r="D140" s="98"/>
      <c r="E140" s="98"/>
      <c r="F140" s="98"/>
      <c r="G140" s="98"/>
      <c r="H140" s="99"/>
      <c r="I140" s="76"/>
      <c r="J140" s="26">
        <f ca="1">IF($K140=2000,,RANK(K140,$K$4:$K$224,TRUE))</f>
        <v>0</v>
      </c>
      <c r="K140" s="77">
        <f ca="1">IFERROR(__xludf.DUMMYFUNCTION("IF(REGEXMATCH(I140,""^\d{1,2}:\d\d,\d{1,2}""),VALUE(LEFT($I140,SEARCH("":"",I140)-1))*60+VALUE(MID($I140,SEARCH("":"",I140)+1,LEN($I140))),2000)"),2000)</f>
        <v>2000</v>
      </c>
    </row>
    <row r="141" spans="1:11" ht="13.2" x14ac:dyDescent="0.25">
      <c r="A141" s="17"/>
      <c r="B141" s="28">
        <v>1</v>
      </c>
      <c r="C141" s="29"/>
      <c r="D141" s="78"/>
      <c r="E141" s="79"/>
      <c r="F141" s="80">
        <v>2</v>
      </c>
      <c r="G141" s="29"/>
      <c r="H141" s="30"/>
      <c r="I141" s="21"/>
      <c r="J141" s="22"/>
      <c r="K141" s="75"/>
    </row>
    <row r="142" spans="1:11" ht="13.2" x14ac:dyDescent="0.25">
      <c r="A142" s="17"/>
      <c r="B142" s="28">
        <v>3</v>
      </c>
      <c r="C142" s="29"/>
      <c r="D142" s="78"/>
      <c r="E142" s="81"/>
      <c r="F142" s="80">
        <v>4</v>
      </c>
      <c r="G142" s="29"/>
      <c r="H142" s="30"/>
      <c r="I142" s="21"/>
      <c r="J142" s="22"/>
      <c r="K142" s="75"/>
    </row>
    <row r="143" spans="1:11" ht="13.2" x14ac:dyDescent="0.25">
      <c r="A143" s="17"/>
      <c r="B143" s="28">
        <v>5</v>
      </c>
      <c r="C143" s="29"/>
      <c r="D143" s="78"/>
      <c r="E143" s="81"/>
      <c r="F143" s="80">
        <v>6</v>
      </c>
      <c r="G143" s="29"/>
      <c r="H143" s="30"/>
      <c r="I143" s="21"/>
      <c r="J143" s="22"/>
      <c r="K143" s="75"/>
    </row>
    <row r="144" spans="1:11" ht="13.2" x14ac:dyDescent="0.25">
      <c r="A144" s="17"/>
      <c r="B144" s="28">
        <v>7</v>
      </c>
      <c r="C144" s="29"/>
      <c r="D144" s="78"/>
      <c r="E144" s="81"/>
      <c r="F144" s="80">
        <v>8</v>
      </c>
      <c r="G144" s="29"/>
      <c r="H144" s="30"/>
      <c r="I144" s="21"/>
      <c r="J144" s="22"/>
      <c r="K144" s="75"/>
    </row>
    <row r="145" spans="1:11" ht="13.2" x14ac:dyDescent="0.25">
      <c r="A145" s="17"/>
      <c r="B145" s="28">
        <v>9</v>
      </c>
      <c r="C145" s="29"/>
      <c r="D145" s="78"/>
      <c r="E145" s="82"/>
      <c r="F145" s="80">
        <v>10</v>
      </c>
      <c r="G145" s="29"/>
      <c r="H145" s="30"/>
      <c r="I145" s="21"/>
      <c r="J145" s="22"/>
      <c r="K145" s="75"/>
    </row>
    <row r="146" spans="1:11" ht="13.2" x14ac:dyDescent="0.25">
      <c r="B146" s="35" t="s">
        <v>18</v>
      </c>
      <c r="C146" s="83"/>
      <c r="D146" s="35" t="s">
        <v>789</v>
      </c>
      <c r="E146" s="83"/>
      <c r="F146" s="83"/>
      <c r="G146" s="84"/>
      <c r="H146" s="85"/>
      <c r="I146" s="86"/>
      <c r="J146" s="22"/>
      <c r="K146" s="75"/>
    </row>
    <row r="147" spans="1:11" ht="13.2" x14ac:dyDescent="0.25">
      <c r="I147" s="86"/>
      <c r="J147" s="22"/>
      <c r="K147" s="75"/>
    </row>
    <row r="148" spans="1:11" ht="15.6" x14ac:dyDescent="0.25">
      <c r="A148" s="23">
        <v>19</v>
      </c>
      <c r="B148" s="97"/>
      <c r="C148" s="98"/>
      <c r="D148" s="98"/>
      <c r="E148" s="98"/>
      <c r="F148" s="98"/>
      <c r="G148" s="98"/>
      <c r="H148" s="99"/>
      <c r="I148" s="76"/>
      <c r="J148" s="26">
        <f ca="1">IF($K148=2000,,RANK(K148,$K$4:$K$224,TRUE))</f>
        <v>0</v>
      </c>
      <c r="K148" s="77">
        <f ca="1">IFERROR(__xludf.DUMMYFUNCTION("IF(REGEXMATCH(I148,""^\d{1,2}:\d\d,\d{1,2}""),VALUE(LEFT($I148,SEARCH("":"",I148)-1))*60+VALUE(MID($I148,SEARCH("":"",I148)+1,LEN($I148))),2000)"),2000)</f>
        <v>2000</v>
      </c>
    </row>
    <row r="149" spans="1:11" ht="13.2" x14ac:dyDescent="0.25">
      <c r="A149" s="17"/>
      <c r="B149" s="28">
        <v>1</v>
      </c>
      <c r="C149" s="29"/>
      <c r="D149" s="78"/>
      <c r="E149" s="79"/>
      <c r="F149" s="80">
        <v>2</v>
      </c>
      <c r="G149" s="29"/>
      <c r="H149" s="30"/>
      <c r="I149" s="21"/>
      <c r="J149" s="22"/>
      <c r="K149" s="75"/>
    </row>
    <row r="150" spans="1:11" ht="13.2" x14ac:dyDescent="0.25">
      <c r="A150" s="17"/>
      <c r="B150" s="28">
        <v>3</v>
      </c>
      <c r="C150" s="29"/>
      <c r="D150" s="78"/>
      <c r="E150" s="81"/>
      <c r="F150" s="80">
        <v>4</v>
      </c>
      <c r="G150" s="29"/>
      <c r="H150" s="30"/>
      <c r="I150" s="21"/>
      <c r="J150" s="22"/>
      <c r="K150" s="75"/>
    </row>
    <row r="151" spans="1:11" ht="13.2" x14ac:dyDescent="0.25">
      <c r="A151" s="17"/>
      <c r="B151" s="28">
        <v>5</v>
      </c>
      <c r="C151" s="29"/>
      <c r="D151" s="78"/>
      <c r="E151" s="81"/>
      <c r="F151" s="80">
        <v>6</v>
      </c>
      <c r="G151" s="29"/>
      <c r="H151" s="30"/>
      <c r="I151" s="21"/>
      <c r="J151" s="22"/>
      <c r="K151" s="75"/>
    </row>
    <row r="152" spans="1:11" ht="13.2" x14ac:dyDescent="0.25">
      <c r="A152" s="17"/>
      <c r="B152" s="28">
        <v>7</v>
      </c>
      <c r="C152" s="29"/>
      <c r="D152" s="78"/>
      <c r="E152" s="81"/>
      <c r="F152" s="80">
        <v>8</v>
      </c>
      <c r="G152" s="29"/>
      <c r="H152" s="30"/>
      <c r="I152" s="21"/>
      <c r="J152" s="22"/>
      <c r="K152" s="75"/>
    </row>
    <row r="153" spans="1:11" ht="13.2" x14ac:dyDescent="0.25">
      <c r="A153" s="17"/>
      <c r="B153" s="28">
        <v>9</v>
      </c>
      <c r="C153" s="29"/>
      <c r="D153" s="78"/>
      <c r="E153" s="82"/>
      <c r="F153" s="80">
        <v>10</v>
      </c>
      <c r="G153" s="29"/>
      <c r="H153" s="30"/>
      <c r="I153" s="21"/>
      <c r="J153" s="22"/>
      <c r="K153" s="75"/>
    </row>
    <row r="154" spans="1:11" ht="13.2" x14ac:dyDescent="0.25">
      <c r="B154" s="35" t="s">
        <v>18</v>
      </c>
      <c r="C154" s="83"/>
      <c r="D154" s="35" t="s">
        <v>789</v>
      </c>
      <c r="E154" s="83"/>
      <c r="F154" s="83"/>
      <c r="G154" s="84"/>
      <c r="H154" s="85"/>
      <c r="I154" s="86"/>
      <c r="J154" s="22"/>
      <c r="K154" s="75"/>
    </row>
    <row r="155" spans="1:11" ht="13.2" x14ac:dyDescent="0.25">
      <c r="I155" s="86"/>
      <c r="J155" s="22"/>
      <c r="K155" s="75"/>
    </row>
    <row r="156" spans="1:11" ht="15.6" x14ac:dyDescent="0.25">
      <c r="A156" s="23">
        <v>20</v>
      </c>
      <c r="B156" s="97"/>
      <c r="C156" s="98"/>
      <c r="D156" s="98"/>
      <c r="E156" s="98"/>
      <c r="F156" s="98"/>
      <c r="G156" s="98"/>
      <c r="H156" s="99"/>
      <c r="I156" s="76"/>
      <c r="J156" s="26">
        <f ca="1">IF($K156=2000,,RANK(K156,$K$4:$K$224,TRUE))</f>
        <v>0</v>
      </c>
      <c r="K156" s="77">
        <f ca="1">IFERROR(__xludf.DUMMYFUNCTION("IF(REGEXMATCH(I156,""^\d{1,2}:\d\d,\d{1,2}""),VALUE(LEFT($I156,SEARCH("":"",I156)-1))*60+VALUE(MID($I156,SEARCH("":"",I156)+1,LEN($I156))),2000)"),2000)</f>
        <v>2000</v>
      </c>
    </row>
    <row r="157" spans="1:11" ht="13.2" x14ac:dyDescent="0.25">
      <c r="A157" s="17"/>
      <c r="B157" s="28">
        <v>1</v>
      </c>
      <c r="C157" s="29"/>
      <c r="D157" s="78"/>
      <c r="E157" s="79"/>
      <c r="F157" s="80">
        <v>2</v>
      </c>
      <c r="G157" s="29"/>
      <c r="H157" s="30"/>
      <c r="I157" s="21"/>
      <c r="J157" s="22"/>
      <c r="K157" s="75"/>
    </row>
    <row r="158" spans="1:11" ht="13.2" x14ac:dyDescent="0.25">
      <c r="A158" s="17"/>
      <c r="B158" s="28">
        <v>3</v>
      </c>
      <c r="C158" s="29"/>
      <c r="D158" s="78"/>
      <c r="E158" s="81"/>
      <c r="F158" s="80">
        <v>4</v>
      </c>
      <c r="G158" s="29"/>
      <c r="H158" s="30"/>
      <c r="I158" s="21"/>
      <c r="J158" s="22"/>
      <c r="K158" s="75"/>
    </row>
    <row r="159" spans="1:11" ht="13.2" x14ac:dyDescent="0.25">
      <c r="A159" s="17"/>
      <c r="B159" s="28">
        <v>5</v>
      </c>
      <c r="C159" s="29"/>
      <c r="D159" s="78"/>
      <c r="E159" s="81"/>
      <c r="F159" s="80">
        <v>6</v>
      </c>
      <c r="G159" s="29"/>
      <c r="H159" s="30"/>
      <c r="I159" s="21"/>
      <c r="J159" s="22"/>
      <c r="K159" s="75"/>
    </row>
    <row r="160" spans="1:11" ht="13.2" x14ac:dyDescent="0.25">
      <c r="A160" s="17"/>
      <c r="B160" s="28">
        <v>7</v>
      </c>
      <c r="C160" s="29"/>
      <c r="D160" s="78"/>
      <c r="E160" s="81"/>
      <c r="F160" s="80">
        <v>8</v>
      </c>
      <c r="G160" s="29"/>
      <c r="H160" s="30"/>
      <c r="I160" s="21"/>
      <c r="J160" s="22"/>
      <c r="K160" s="75"/>
    </row>
    <row r="161" spans="1:11" ht="13.2" x14ac:dyDescent="0.25">
      <c r="A161" s="17"/>
      <c r="B161" s="28">
        <v>9</v>
      </c>
      <c r="C161" s="29"/>
      <c r="D161" s="78"/>
      <c r="E161" s="82"/>
      <c r="F161" s="80">
        <v>10</v>
      </c>
      <c r="G161" s="29"/>
      <c r="H161" s="30"/>
      <c r="I161" s="21"/>
      <c r="J161" s="22"/>
      <c r="K161" s="75"/>
    </row>
    <row r="162" spans="1:11" ht="13.2" x14ac:dyDescent="0.25">
      <c r="B162" s="35" t="s">
        <v>18</v>
      </c>
      <c r="C162" s="83"/>
      <c r="D162" s="35" t="s">
        <v>789</v>
      </c>
      <c r="E162" s="83"/>
      <c r="F162" s="83"/>
      <c r="G162" s="84"/>
      <c r="H162" s="85"/>
      <c r="I162" s="86"/>
      <c r="J162" s="22"/>
      <c r="K162" s="75"/>
    </row>
    <row r="163" spans="1:11" ht="13.2" x14ac:dyDescent="0.25">
      <c r="I163" s="86"/>
      <c r="J163" s="22"/>
      <c r="K163" s="75"/>
    </row>
    <row r="164" spans="1:11" ht="15.6" x14ac:dyDescent="0.25">
      <c r="A164" s="23">
        <v>21</v>
      </c>
      <c r="B164" s="97"/>
      <c r="C164" s="98"/>
      <c r="D164" s="98"/>
      <c r="E164" s="98"/>
      <c r="F164" s="98"/>
      <c r="G164" s="98"/>
      <c r="H164" s="99"/>
      <c r="I164" s="76"/>
      <c r="J164" s="26">
        <f ca="1">IF($K164=2000,,RANK(K164,$K$4:$K$224,TRUE))</f>
        <v>0</v>
      </c>
      <c r="K164" s="77">
        <f ca="1">IFERROR(__xludf.DUMMYFUNCTION("IF(REGEXMATCH(I164,""^\d{1,2}:\d\d,\d{1,2}""),VALUE(LEFT($I164,SEARCH("":"",I164)-1))*60+VALUE(MID($I164,SEARCH("":"",I164)+1,LEN($I164))),2000)"),2000)</f>
        <v>2000</v>
      </c>
    </row>
    <row r="165" spans="1:11" ht="13.2" x14ac:dyDescent="0.25">
      <c r="A165" s="17"/>
      <c r="B165" s="28">
        <v>1</v>
      </c>
      <c r="C165" s="29"/>
      <c r="D165" s="78"/>
      <c r="E165" s="79"/>
      <c r="F165" s="80">
        <v>2</v>
      </c>
      <c r="G165" s="29"/>
      <c r="H165" s="30"/>
      <c r="I165" s="21"/>
      <c r="J165" s="22"/>
      <c r="K165" s="75"/>
    </row>
    <row r="166" spans="1:11" ht="13.2" x14ac:dyDescent="0.25">
      <c r="A166" s="17"/>
      <c r="B166" s="28">
        <v>3</v>
      </c>
      <c r="C166" s="29"/>
      <c r="D166" s="78"/>
      <c r="E166" s="81"/>
      <c r="F166" s="80">
        <v>4</v>
      </c>
      <c r="G166" s="29"/>
      <c r="H166" s="30"/>
      <c r="I166" s="21"/>
      <c r="J166" s="22"/>
      <c r="K166" s="75"/>
    </row>
    <row r="167" spans="1:11" ht="13.2" x14ac:dyDescent="0.25">
      <c r="A167" s="17"/>
      <c r="B167" s="28">
        <v>5</v>
      </c>
      <c r="C167" s="29"/>
      <c r="D167" s="78"/>
      <c r="E167" s="81"/>
      <c r="F167" s="80">
        <v>6</v>
      </c>
      <c r="G167" s="29"/>
      <c r="H167" s="30"/>
      <c r="I167" s="21"/>
      <c r="J167" s="22"/>
      <c r="K167" s="75"/>
    </row>
    <row r="168" spans="1:11" ht="13.2" x14ac:dyDescent="0.25">
      <c r="A168" s="17"/>
      <c r="B168" s="28">
        <v>7</v>
      </c>
      <c r="C168" s="29"/>
      <c r="D168" s="78"/>
      <c r="E168" s="81"/>
      <c r="F168" s="80">
        <v>8</v>
      </c>
      <c r="G168" s="29"/>
      <c r="H168" s="30"/>
      <c r="I168" s="21"/>
      <c r="J168" s="22"/>
      <c r="K168" s="75"/>
    </row>
    <row r="169" spans="1:11" ht="13.2" x14ac:dyDescent="0.25">
      <c r="A169" s="17"/>
      <c r="B169" s="28">
        <v>9</v>
      </c>
      <c r="C169" s="29"/>
      <c r="D169" s="78"/>
      <c r="E169" s="82"/>
      <c r="F169" s="80">
        <v>10</v>
      </c>
      <c r="G169" s="29"/>
      <c r="H169" s="30"/>
      <c r="I169" s="21"/>
      <c r="J169" s="22"/>
      <c r="K169" s="75"/>
    </row>
    <row r="170" spans="1:11" ht="13.2" x14ac:dyDescent="0.25">
      <c r="B170" s="35" t="s">
        <v>18</v>
      </c>
      <c r="C170" s="83"/>
      <c r="D170" s="35" t="s">
        <v>789</v>
      </c>
      <c r="E170" s="83"/>
      <c r="F170" s="83"/>
      <c r="G170" s="84"/>
      <c r="H170" s="85"/>
      <c r="I170" s="86"/>
      <c r="J170" s="22"/>
      <c r="K170" s="75"/>
    </row>
    <row r="171" spans="1:11" ht="13.2" x14ac:dyDescent="0.25">
      <c r="I171" s="86"/>
      <c r="J171" s="22"/>
      <c r="K171" s="75"/>
    </row>
    <row r="172" spans="1:11" ht="15.6" x14ac:dyDescent="0.25">
      <c r="A172" s="23">
        <v>22</v>
      </c>
      <c r="B172" s="97"/>
      <c r="C172" s="98"/>
      <c r="D172" s="98"/>
      <c r="E172" s="98"/>
      <c r="F172" s="98"/>
      <c r="G172" s="98"/>
      <c r="H172" s="99"/>
      <c r="I172" s="76"/>
      <c r="J172" s="26">
        <f ca="1">IF($K172=2000,,RANK(K172,$K$4:$K$224,TRUE))</f>
        <v>0</v>
      </c>
      <c r="K172" s="77">
        <f ca="1">IFERROR(__xludf.DUMMYFUNCTION("IF(REGEXMATCH(I172,""^\d{1,2}:\d\d,\d{1,2}""),VALUE(LEFT($I172,SEARCH("":"",I172)-1))*60+VALUE(MID($I172,SEARCH("":"",I172)+1,LEN($I172))),2000)"),2000)</f>
        <v>2000</v>
      </c>
    </row>
    <row r="173" spans="1:11" ht="13.2" x14ac:dyDescent="0.25">
      <c r="A173" s="17"/>
      <c r="B173" s="28">
        <v>1</v>
      </c>
      <c r="C173" s="29"/>
      <c r="D173" s="78"/>
      <c r="E173" s="79"/>
      <c r="F173" s="80">
        <v>2</v>
      </c>
      <c r="G173" s="29"/>
      <c r="H173" s="30"/>
      <c r="I173" s="21"/>
      <c r="J173" s="52"/>
      <c r="K173" s="75"/>
    </row>
    <row r="174" spans="1:11" ht="13.2" x14ac:dyDescent="0.25">
      <c r="A174" s="17"/>
      <c r="B174" s="28">
        <v>3</v>
      </c>
      <c r="C174" s="29"/>
      <c r="D174" s="78"/>
      <c r="E174" s="81"/>
      <c r="F174" s="80">
        <v>4</v>
      </c>
      <c r="G174" s="29"/>
      <c r="H174" s="30"/>
      <c r="I174" s="21"/>
      <c r="J174" s="52"/>
      <c r="K174" s="75"/>
    </row>
    <row r="175" spans="1:11" ht="13.2" x14ac:dyDescent="0.25">
      <c r="A175" s="17"/>
      <c r="B175" s="28">
        <v>5</v>
      </c>
      <c r="C175" s="29"/>
      <c r="D175" s="78"/>
      <c r="E175" s="81"/>
      <c r="F175" s="80">
        <v>6</v>
      </c>
      <c r="G175" s="29"/>
      <c r="H175" s="30"/>
      <c r="I175" s="21"/>
      <c r="J175" s="52"/>
      <c r="K175" s="75"/>
    </row>
    <row r="176" spans="1:11" ht="13.2" x14ac:dyDescent="0.25">
      <c r="A176" s="17"/>
      <c r="B176" s="28">
        <v>7</v>
      </c>
      <c r="C176" s="29"/>
      <c r="D176" s="78"/>
      <c r="E176" s="81"/>
      <c r="F176" s="80">
        <v>8</v>
      </c>
      <c r="G176" s="29"/>
      <c r="H176" s="30"/>
      <c r="I176" s="21"/>
      <c r="J176" s="52"/>
      <c r="K176" s="75"/>
    </row>
    <row r="177" spans="1:11" ht="13.2" x14ac:dyDescent="0.25">
      <c r="A177" s="17"/>
      <c r="B177" s="28">
        <v>9</v>
      </c>
      <c r="C177" s="29"/>
      <c r="D177" s="78"/>
      <c r="E177" s="82"/>
      <c r="F177" s="80">
        <v>10</v>
      </c>
      <c r="G177" s="29"/>
      <c r="H177" s="30"/>
      <c r="I177" s="21"/>
      <c r="J177" s="52"/>
      <c r="K177" s="75"/>
    </row>
    <row r="178" spans="1:11" ht="13.2" x14ac:dyDescent="0.25">
      <c r="B178" s="35" t="s">
        <v>18</v>
      </c>
      <c r="C178" s="83"/>
      <c r="D178" s="35" t="s">
        <v>789</v>
      </c>
      <c r="E178" s="83"/>
      <c r="F178" s="83"/>
      <c r="G178" s="84"/>
      <c r="H178" s="85"/>
      <c r="I178" s="86"/>
      <c r="J178" s="52"/>
      <c r="K178" s="75"/>
    </row>
    <row r="179" spans="1:11" ht="13.2" x14ac:dyDescent="0.25">
      <c r="I179" s="86"/>
      <c r="J179" s="52"/>
      <c r="K179" s="75"/>
    </row>
    <row r="180" spans="1:11" ht="15.6" x14ac:dyDescent="0.25">
      <c r="A180" s="23">
        <v>23</v>
      </c>
      <c r="B180" s="97"/>
      <c r="C180" s="98"/>
      <c r="D180" s="98"/>
      <c r="E180" s="98"/>
      <c r="F180" s="98"/>
      <c r="G180" s="98"/>
      <c r="H180" s="99"/>
      <c r="I180" s="76"/>
      <c r="J180" s="26">
        <f ca="1">IF($K180=2000,,RANK(K180,$K$4:$K$224,TRUE))</f>
        <v>0</v>
      </c>
      <c r="K180" s="77">
        <f ca="1">IFERROR(__xludf.DUMMYFUNCTION("IF(REGEXMATCH(I180,""^\d{1,2}:\d\d,\d{1,2}""),VALUE(LEFT($I180,SEARCH("":"",I180)-1))*60+VALUE(MID($I180,SEARCH("":"",I180)+1,LEN($I180))),2000)"),2000)</f>
        <v>2000</v>
      </c>
    </row>
    <row r="181" spans="1:11" ht="13.2" x14ac:dyDescent="0.25">
      <c r="A181" s="17"/>
      <c r="B181" s="28">
        <v>1</v>
      </c>
      <c r="C181" s="29"/>
      <c r="D181" s="78"/>
      <c r="E181" s="79"/>
      <c r="F181" s="80">
        <v>2</v>
      </c>
      <c r="G181" s="29"/>
      <c r="H181" s="30"/>
      <c r="I181" s="21"/>
      <c r="J181" s="52"/>
      <c r="K181" s="75"/>
    </row>
    <row r="182" spans="1:11" ht="13.2" x14ac:dyDescent="0.25">
      <c r="A182" s="17"/>
      <c r="B182" s="28">
        <v>3</v>
      </c>
      <c r="C182" s="29"/>
      <c r="D182" s="78"/>
      <c r="E182" s="81"/>
      <c r="F182" s="80">
        <v>4</v>
      </c>
      <c r="G182" s="29"/>
      <c r="H182" s="30"/>
      <c r="I182" s="21"/>
      <c r="J182" s="52"/>
      <c r="K182" s="75"/>
    </row>
    <row r="183" spans="1:11" ht="13.2" x14ac:dyDescent="0.25">
      <c r="A183" s="17"/>
      <c r="B183" s="28">
        <v>5</v>
      </c>
      <c r="C183" s="29"/>
      <c r="D183" s="78"/>
      <c r="E183" s="81"/>
      <c r="F183" s="80">
        <v>6</v>
      </c>
      <c r="G183" s="29"/>
      <c r="H183" s="30"/>
      <c r="I183" s="21"/>
      <c r="J183" s="52"/>
      <c r="K183" s="75"/>
    </row>
    <row r="184" spans="1:11" ht="13.2" x14ac:dyDescent="0.25">
      <c r="A184" s="17"/>
      <c r="B184" s="28">
        <v>7</v>
      </c>
      <c r="C184" s="29"/>
      <c r="D184" s="78"/>
      <c r="E184" s="81"/>
      <c r="F184" s="80">
        <v>8</v>
      </c>
      <c r="G184" s="29"/>
      <c r="H184" s="30"/>
      <c r="I184" s="21"/>
      <c r="J184" s="52"/>
      <c r="K184" s="75"/>
    </row>
    <row r="185" spans="1:11" ht="13.2" x14ac:dyDescent="0.25">
      <c r="A185" s="17"/>
      <c r="B185" s="28">
        <v>9</v>
      </c>
      <c r="C185" s="29"/>
      <c r="D185" s="78"/>
      <c r="E185" s="82"/>
      <c r="F185" s="80">
        <v>10</v>
      </c>
      <c r="G185" s="29"/>
      <c r="H185" s="30"/>
      <c r="I185" s="21"/>
      <c r="J185" s="52"/>
      <c r="K185" s="75"/>
    </row>
    <row r="186" spans="1:11" ht="13.2" x14ac:dyDescent="0.25">
      <c r="B186" s="35" t="s">
        <v>18</v>
      </c>
      <c r="C186" s="83"/>
      <c r="D186" s="35" t="s">
        <v>789</v>
      </c>
      <c r="E186" s="83"/>
      <c r="F186" s="83"/>
      <c r="G186" s="84"/>
      <c r="H186" s="85"/>
      <c r="I186" s="86"/>
      <c r="J186" s="52"/>
      <c r="K186" s="75"/>
    </row>
    <row r="187" spans="1:11" ht="13.2" x14ac:dyDescent="0.25">
      <c r="I187" s="86"/>
      <c r="J187" s="52"/>
      <c r="K187" s="75"/>
    </row>
    <row r="188" spans="1:11" ht="15.6" x14ac:dyDescent="0.25">
      <c r="A188" s="23">
        <v>24</v>
      </c>
      <c r="B188" s="97"/>
      <c r="C188" s="98"/>
      <c r="D188" s="98"/>
      <c r="E188" s="98"/>
      <c r="F188" s="98"/>
      <c r="G188" s="98"/>
      <c r="H188" s="99"/>
      <c r="I188" s="76"/>
      <c r="J188" s="26">
        <f ca="1">IF($K188=2000,,RANK(K188,$K$4:$K$224,TRUE))</f>
        <v>0</v>
      </c>
      <c r="K188" s="77">
        <f ca="1">IFERROR(__xludf.DUMMYFUNCTION("IF(REGEXMATCH(I188,""^\d{1,2}:\d\d,\d{1,2}""),VALUE(LEFT($I188,SEARCH("":"",I188)-1))*60+VALUE(MID($I188,SEARCH("":"",I188)+1,LEN($I188))),2000)"),2000)</f>
        <v>2000</v>
      </c>
    </row>
    <row r="189" spans="1:11" ht="13.2" x14ac:dyDescent="0.25">
      <c r="A189" s="17"/>
      <c r="B189" s="28">
        <v>1</v>
      </c>
      <c r="C189" s="29"/>
      <c r="D189" s="78"/>
      <c r="E189" s="79"/>
      <c r="F189" s="80">
        <v>2</v>
      </c>
      <c r="G189" s="29"/>
      <c r="H189" s="30"/>
      <c r="I189" s="21"/>
      <c r="J189" s="52"/>
      <c r="K189" s="75"/>
    </row>
    <row r="190" spans="1:11" ht="13.2" x14ac:dyDescent="0.25">
      <c r="A190" s="17"/>
      <c r="B190" s="28">
        <v>3</v>
      </c>
      <c r="C190" s="29"/>
      <c r="D190" s="78"/>
      <c r="E190" s="81"/>
      <c r="F190" s="80">
        <v>4</v>
      </c>
      <c r="G190" s="29"/>
      <c r="H190" s="30"/>
      <c r="I190" s="21"/>
      <c r="J190" s="52"/>
      <c r="K190" s="75"/>
    </row>
    <row r="191" spans="1:11" ht="13.2" x14ac:dyDescent="0.25">
      <c r="A191" s="17"/>
      <c r="B191" s="28">
        <v>5</v>
      </c>
      <c r="C191" s="29"/>
      <c r="D191" s="78"/>
      <c r="E191" s="81"/>
      <c r="F191" s="80">
        <v>6</v>
      </c>
      <c r="G191" s="29"/>
      <c r="H191" s="30"/>
      <c r="I191" s="21"/>
      <c r="J191" s="52"/>
      <c r="K191" s="75"/>
    </row>
    <row r="192" spans="1:11" ht="13.2" x14ac:dyDescent="0.25">
      <c r="A192" s="17"/>
      <c r="B192" s="28">
        <v>7</v>
      </c>
      <c r="C192" s="29"/>
      <c r="D192" s="78"/>
      <c r="E192" s="81"/>
      <c r="F192" s="80">
        <v>8</v>
      </c>
      <c r="G192" s="29"/>
      <c r="H192" s="30"/>
      <c r="I192" s="21"/>
      <c r="J192" s="52"/>
      <c r="K192" s="75"/>
    </row>
    <row r="193" spans="1:11" ht="13.2" x14ac:dyDescent="0.25">
      <c r="A193" s="17"/>
      <c r="B193" s="28">
        <v>9</v>
      </c>
      <c r="C193" s="29"/>
      <c r="D193" s="78"/>
      <c r="E193" s="82"/>
      <c r="F193" s="80">
        <v>10</v>
      </c>
      <c r="G193" s="29"/>
      <c r="H193" s="30"/>
      <c r="I193" s="21"/>
      <c r="J193" s="52"/>
      <c r="K193" s="75"/>
    </row>
    <row r="194" spans="1:11" ht="13.2" x14ac:dyDescent="0.25">
      <c r="B194" s="35" t="s">
        <v>18</v>
      </c>
      <c r="C194" s="83"/>
      <c r="D194" s="35" t="s">
        <v>789</v>
      </c>
      <c r="E194" s="83"/>
      <c r="F194" s="83"/>
      <c r="G194" s="84"/>
      <c r="H194" s="85"/>
      <c r="I194" s="86"/>
      <c r="J194" s="52"/>
      <c r="K194" s="75"/>
    </row>
    <row r="195" spans="1:11" ht="13.2" x14ac:dyDescent="0.25">
      <c r="I195" s="86"/>
      <c r="J195" s="52"/>
      <c r="K195" s="75"/>
    </row>
    <row r="196" spans="1:11" ht="15.6" x14ac:dyDescent="0.25">
      <c r="A196" s="23">
        <v>25</v>
      </c>
      <c r="B196" s="97"/>
      <c r="C196" s="98"/>
      <c r="D196" s="98"/>
      <c r="E196" s="98"/>
      <c r="F196" s="98"/>
      <c r="G196" s="98"/>
      <c r="H196" s="99"/>
      <c r="I196" s="76"/>
      <c r="J196" s="26">
        <f ca="1">IF($K196=2000,,RANK(K196,$K$4:$K$224,TRUE))</f>
        <v>0</v>
      </c>
      <c r="K196" s="77">
        <f ca="1">IFERROR(__xludf.DUMMYFUNCTION("IF(REGEXMATCH(I196,""^\d{1,2}:\d\d,\d{1,2}""),VALUE(LEFT($I196,SEARCH("":"",I196)-1))*60+VALUE(MID($I196,SEARCH("":"",I196)+1,LEN($I196))),2000)"),2000)</f>
        <v>2000</v>
      </c>
    </row>
    <row r="197" spans="1:11" ht="13.2" x14ac:dyDescent="0.25">
      <c r="A197" s="17"/>
      <c r="B197" s="28">
        <v>1</v>
      </c>
      <c r="C197" s="29"/>
      <c r="D197" s="78"/>
      <c r="E197" s="79"/>
      <c r="F197" s="80">
        <v>2</v>
      </c>
      <c r="G197" s="29"/>
      <c r="H197" s="30"/>
      <c r="I197" s="21"/>
      <c r="J197" s="52"/>
      <c r="K197" s="75"/>
    </row>
    <row r="198" spans="1:11" ht="13.2" x14ac:dyDescent="0.25">
      <c r="A198" s="17"/>
      <c r="B198" s="28">
        <v>3</v>
      </c>
      <c r="C198" s="29"/>
      <c r="D198" s="78"/>
      <c r="E198" s="81"/>
      <c r="F198" s="80">
        <v>4</v>
      </c>
      <c r="G198" s="29"/>
      <c r="H198" s="30"/>
      <c r="I198" s="21"/>
      <c r="J198" s="52"/>
      <c r="K198" s="75"/>
    </row>
    <row r="199" spans="1:11" ht="13.2" x14ac:dyDescent="0.25">
      <c r="A199" s="17"/>
      <c r="B199" s="28">
        <v>5</v>
      </c>
      <c r="C199" s="29"/>
      <c r="D199" s="78"/>
      <c r="E199" s="81"/>
      <c r="F199" s="80">
        <v>6</v>
      </c>
      <c r="G199" s="29"/>
      <c r="H199" s="30"/>
      <c r="I199" s="21"/>
      <c r="J199" s="52"/>
      <c r="K199" s="75"/>
    </row>
    <row r="200" spans="1:11" ht="13.2" x14ac:dyDescent="0.25">
      <c r="A200" s="17"/>
      <c r="B200" s="28">
        <v>7</v>
      </c>
      <c r="C200" s="29"/>
      <c r="D200" s="78"/>
      <c r="E200" s="81"/>
      <c r="F200" s="80">
        <v>8</v>
      </c>
      <c r="G200" s="29"/>
      <c r="H200" s="30"/>
      <c r="I200" s="21"/>
      <c r="J200" s="52"/>
      <c r="K200" s="75"/>
    </row>
    <row r="201" spans="1:11" ht="13.2" x14ac:dyDescent="0.25">
      <c r="A201" s="17"/>
      <c r="B201" s="28">
        <v>9</v>
      </c>
      <c r="C201" s="29"/>
      <c r="D201" s="78"/>
      <c r="E201" s="82"/>
      <c r="F201" s="80">
        <v>10</v>
      </c>
      <c r="G201" s="29"/>
      <c r="H201" s="30"/>
      <c r="I201" s="21"/>
      <c r="J201" s="52"/>
      <c r="K201" s="75"/>
    </row>
    <row r="202" spans="1:11" ht="13.2" x14ac:dyDescent="0.25">
      <c r="B202" s="35" t="s">
        <v>18</v>
      </c>
      <c r="C202" s="83"/>
      <c r="D202" s="35" t="s">
        <v>789</v>
      </c>
      <c r="E202" s="83"/>
      <c r="F202" s="83"/>
      <c r="G202" s="84"/>
      <c r="H202" s="85"/>
      <c r="J202" s="52"/>
      <c r="K202" s="75"/>
    </row>
    <row r="203" spans="1:11" ht="13.2" x14ac:dyDescent="0.25">
      <c r="J203" s="22"/>
      <c r="K203" s="75"/>
    </row>
    <row r="204" spans="1:11" ht="13.2" x14ac:dyDescent="0.25">
      <c r="J204" s="22"/>
      <c r="K204" s="75"/>
    </row>
    <row r="205" spans="1:11" ht="13.2" x14ac:dyDescent="0.25">
      <c r="J205" s="22"/>
      <c r="K205" s="75"/>
    </row>
    <row r="206" spans="1:11" ht="13.2" x14ac:dyDescent="0.25">
      <c r="J206" s="22"/>
      <c r="K206" s="75"/>
    </row>
    <row r="207" spans="1:11" ht="13.2" x14ac:dyDescent="0.25">
      <c r="J207" s="22"/>
      <c r="K207" s="75"/>
    </row>
    <row r="208" spans="1:11" ht="13.2" x14ac:dyDescent="0.25">
      <c r="J208" s="22"/>
      <c r="K208" s="75"/>
    </row>
    <row r="209" spans="10:11" ht="13.2" x14ac:dyDescent="0.25">
      <c r="J209" s="22"/>
      <c r="K209" s="75"/>
    </row>
    <row r="210" spans="10:11" ht="13.2" x14ac:dyDescent="0.25">
      <c r="J210" s="22"/>
      <c r="K210" s="75"/>
    </row>
    <row r="211" spans="10:11" ht="13.2" x14ac:dyDescent="0.25">
      <c r="J211" s="22"/>
      <c r="K211" s="75"/>
    </row>
    <row r="212" spans="10:11" ht="13.2" x14ac:dyDescent="0.25">
      <c r="J212" s="22"/>
      <c r="K212" s="75"/>
    </row>
    <row r="213" spans="10:11" ht="13.2" x14ac:dyDescent="0.25">
      <c r="J213" s="22"/>
      <c r="K213" s="75"/>
    </row>
    <row r="214" spans="10:11" ht="13.2" x14ac:dyDescent="0.25">
      <c r="J214" s="22"/>
      <c r="K214" s="75"/>
    </row>
    <row r="215" spans="10:11" ht="13.2" x14ac:dyDescent="0.25">
      <c r="J215" s="22"/>
      <c r="K215" s="75"/>
    </row>
    <row r="216" spans="10:11" ht="13.2" x14ac:dyDescent="0.25">
      <c r="J216" s="22"/>
      <c r="K216" s="75"/>
    </row>
    <row r="217" spans="10:11" ht="13.2" x14ac:dyDescent="0.25">
      <c r="J217" s="22"/>
      <c r="K217" s="75"/>
    </row>
    <row r="218" spans="10:11" ht="13.2" x14ac:dyDescent="0.25">
      <c r="J218" s="22"/>
      <c r="K218" s="75"/>
    </row>
    <row r="219" spans="10:11" ht="13.2" x14ac:dyDescent="0.25">
      <c r="J219" s="22"/>
      <c r="K219" s="75"/>
    </row>
    <row r="220" spans="10:11" ht="13.2" x14ac:dyDescent="0.25">
      <c r="J220" s="22"/>
      <c r="K220" s="75"/>
    </row>
    <row r="221" spans="10:11" ht="13.2" x14ac:dyDescent="0.25">
      <c r="J221" s="22"/>
      <c r="K221" s="75"/>
    </row>
    <row r="222" spans="10:11" ht="13.2" x14ac:dyDescent="0.25">
      <c r="J222" s="22"/>
      <c r="K222" s="75"/>
    </row>
    <row r="223" spans="10:11" ht="13.2" x14ac:dyDescent="0.25">
      <c r="J223" s="22"/>
      <c r="K223" s="75"/>
    </row>
    <row r="224" spans="10:11" ht="13.2" x14ac:dyDescent="0.25">
      <c r="J224" s="22"/>
      <c r="K224" s="75"/>
    </row>
    <row r="225" spans="10:11" ht="13.2" x14ac:dyDescent="0.25">
      <c r="J225" s="22"/>
      <c r="K225" s="75"/>
    </row>
    <row r="226" spans="10:11" ht="13.2" x14ac:dyDescent="0.25">
      <c r="J226" s="22"/>
      <c r="K226" s="75"/>
    </row>
    <row r="227" spans="10:11" ht="13.2" x14ac:dyDescent="0.25">
      <c r="J227" s="22"/>
      <c r="K227" s="75"/>
    </row>
    <row r="228" spans="10:11" ht="13.2" x14ac:dyDescent="0.25">
      <c r="J228" s="22"/>
      <c r="K228" s="75"/>
    </row>
    <row r="229" spans="10:11" ht="13.2" x14ac:dyDescent="0.25">
      <c r="J229" s="22"/>
      <c r="K229" s="75"/>
    </row>
    <row r="230" spans="10:11" ht="13.2" x14ac:dyDescent="0.25">
      <c r="J230" s="22"/>
      <c r="K230" s="75"/>
    </row>
    <row r="231" spans="10:11" ht="13.2" x14ac:dyDescent="0.25">
      <c r="J231" s="22"/>
      <c r="K231" s="75"/>
    </row>
    <row r="232" spans="10:11" ht="13.2" x14ac:dyDescent="0.25">
      <c r="J232" s="22"/>
      <c r="K232" s="75"/>
    </row>
    <row r="233" spans="10:11" ht="13.2" x14ac:dyDescent="0.25">
      <c r="J233" s="22"/>
      <c r="K233" s="75"/>
    </row>
    <row r="234" spans="10:11" ht="13.2" x14ac:dyDescent="0.25">
      <c r="J234" s="22"/>
      <c r="K234" s="75"/>
    </row>
    <row r="235" spans="10:11" ht="13.2" x14ac:dyDescent="0.25">
      <c r="J235" s="22"/>
      <c r="K235" s="75"/>
    </row>
    <row r="236" spans="10:11" ht="13.2" x14ac:dyDescent="0.25">
      <c r="J236" s="22"/>
      <c r="K236" s="75"/>
    </row>
    <row r="237" spans="10:11" ht="13.2" x14ac:dyDescent="0.25">
      <c r="J237" s="22"/>
      <c r="K237" s="75"/>
    </row>
    <row r="238" spans="10:11" ht="13.2" x14ac:dyDescent="0.25">
      <c r="J238" s="22"/>
      <c r="K238" s="75"/>
    </row>
    <row r="239" spans="10:11" ht="13.2" x14ac:dyDescent="0.25">
      <c r="J239" s="22"/>
      <c r="K239" s="75"/>
    </row>
    <row r="240" spans="10:11" ht="13.2" x14ac:dyDescent="0.25">
      <c r="J240" s="22"/>
      <c r="K240" s="75"/>
    </row>
    <row r="241" spans="10:11" ht="13.2" x14ac:dyDescent="0.25">
      <c r="J241" s="22"/>
      <c r="K241" s="75"/>
    </row>
    <row r="242" spans="10:11" ht="13.2" x14ac:dyDescent="0.25">
      <c r="J242" s="22"/>
      <c r="K242" s="75"/>
    </row>
    <row r="243" spans="10:11" ht="13.2" x14ac:dyDescent="0.25">
      <c r="J243" s="22"/>
      <c r="K243" s="75"/>
    </row>
    <row r="244" spans="10:11" ht="13.2" x14ac:dyDescent="0.25">
      <c r="J244" s="22"/>
      <c r="K244" s="75"/>
    </row>
    <row r="245" spans="10:11" ht="13.2" x14ac:dyDescent="0.25">
      <c r="J245" s="22"/>
      <c r="K245" s="75"/>
    </row>
    <row r="246" spans="10:11" ht="13.2" x14ac:dyDescent="0.25">
      <c r="J246" s="22"/>
      <c r="K246" s="75"/>
    </row>
    <row r="247" spans="10:11" ht="13.2" x14ac:dyDescent="0.25">
      <c r="J247" s="22"/>
      <c r="K247" s="75"/>
    </row>
    <row r="248" spans="10:11" ht="13.2" x14ac:dyDescent="0.25">
      <c r="J248" s="22"/>
      <c r="K248" s="75"/>
    </row>
    <row r="249" spans="10:11" ht="13.2" x14ac:dyDescent="0.25">
      <c r="J249" s="22"/>
      <c r="K249" s="75"/>
    </row>
    <row r="250" spans="10:11" ht="13.2" x14ac:dyDescent="0.25">
      <c r="J250" s="22"/>
      <c r="K250" s="75"/>
    </row>
    <row r="251" spans="10:11" ht="13.2" x14ac:dyDescent="0.25">
      <c r="J251" s="22"/>
      <c r="K251" s="75"/>
    </row>
    <row r="252" spans="10:11" ht="13.2" x14ac:dyDescent="0.25">
      <c r="J252" s="22"/>
      <c r="K252" s="75"/>
    </row>
    <row r="253" spans="10:11" ht="13.2" x14ac:dyDescent="0.25">
      <c r="J253" s="22"/>
      <c r="K253" s="75"/>
    </row>
    <row r="254" spans="10:11" ht="13.2" x14ac:dyDescent="0.25">
      <c r="J254" s="22"/>
      <c r="K254" s="75"/>
    </row>
    <row r="255" spans="10:11" ht="13.2" x14ac:dyDescent="0.25">
      <c r="J255" s="22"/>
      <c r="K255" s="75"/>
    </row>
    <row r="256" spans="10:11" ht="13.2" x14ac:dyDescent="0.25">
      <c r="J256" s="22"/>
      <c r="K256" s="75"/>
    </row>
    <row r="257" spans="10:11" ht="13.2" x14ac:dyDescent="0.25">
      <c r="J257" s="22"/>
      <c r="K257" s="75"/>
    </row>
    <row r="258" spans="10:11" ht="13.2" x14ac:dyDescent="0.25">
      <c r="J258" s="22"/>
      <c r="K258" s="75"/>
    </row>
    <row r="259" spans="10:11" ht="13.2" x14ac:dyDescent="0.25">
      <c r="J259" s="22"/>
      <c r="K259" s="75"/>
    </row>
    <row r="260" spans="10:11" ht="13.2" x14ac:dyDescent="0.25">
      <c r="J260" s="22"/>
      <c r="K260" s="75"/>
    </row>
    <row r="261" spans="10:11" ht="13.2" x14ac:dyDescent="0.25">
      <c r="J261" s="22"/>
      <c r="K261" s="75"/>
    </row>
    <row r="262" spans="10:11" ht="13.2" x14ac:dyDescent="0.25">
      <c r="J262" s="22"/>
      <c r="K262" s="75"/>
    </row>
    <row r="263" spans="10:11" ht="13.2" x14ac:dyDescent="0.25">
      <c r="J263" s="22"/>
      <c r="K263" s="75"/>
    </row>
    <row r="264" spans="10:11" ht="13.2" x14ac:dyDescent="0.25">
      <c r="J264" s="22"/>
      <c r="K264" s="75"/>
    </row>
    <row r="265" spans="10:11" ht="13.2" x14ac:dyDescent="0.25">
      <c r="J265" s="22"/>
      <c r="K265" s="75"/>
    </row>
    <row r="266" spans="10:11" ht="13.2" x14ac:dyDescent="0.25">
      <c r="J266" s="22"/>
      <c r="K266" s="75"/>
    </row>
    <row r="267" spans="10:11" ht="13.2" x14ac:dyDescent="0.25">
      <c r="J267" s="22"/>
      <c r="K267" s="75"/>
    </row>
    <row r="268" spans="10:11" ht="13.2" x14ac:dyDescent="0.25">
      <c r="J268" s="22"/>
      <c r="K268" s="75"/>
    </row>
    <row r="269" spans="10:11" ht="13.2" x14ac:dyDescent="0.25">
      <c r="J269" s="22"/>
      <c r="K269" s="75"/>
    </row>
    <row r="270" spans="10:11" ht="13.2" x14ac:dyDescent="0.25">
      <c r="J270" s="22"/>
      <c r="K270" s="75"/>
    </row>
    <row r="271" spans="10:11" ht="13.2" x14ac:dyDescent="0.25">
      <c r="J271" s="22"/>
      <c r="K271" s="75"/>
    </row>
    <row r="272" spans="10:11" ht="13.2" x14ac:dyDescent="0.25">
      <c r="J272" s="22"/>
      <c r="K272" s="75"/>
    </row>
    <row r="273" spans="10:11" ht="13.2" x14ac:dyDescent="0.25">
      <c r="J273" s="22"/>
      <c r="K273" s="75"/>
    </row>
    <row r="274" spans="10:11" ht="13.2" x14ac:dyDescent="0.25">
      <c r="J274" s="22"/>
      <c r="K274" s="75"/>
    </row>
    <row r="275" spans="10:11" ht="13.2" x14ac:dyDescent="0.25">
      <c r="J275" s="22"/>
      <c r="K275" s="75"/>
    </row>
    <row r="276" spans="10:11" ht="13.2" x14ac:dyDescent="0.25">
      <c r="J276" s="22"/>
      <c r="K276" s="75"/>
    </row>
    <row r="277" spans="10:11" ht="13.2" x14ac:dyDescent="0.25">
      <c r="J277" s="22"/>
      <c r="K277" s="75"/>
    </row>
    <row r="278" spans="10:11" ht="13.2" x14ac:dyDescent="0.25">
      <c r="J278" s="22"/>
      <c r="K278" s="75"/>
    </row>
    <row r="279" spans="10:11" ht="13.2" x14ac:dyDescent="0.25">
      <c r="J279" s="22"/>
      <c r="K279" s="75"/>
    </row>
    <row r="280" spans="10:11" ht="13.2" x14ac:dyDescent="0.25">
      <c r="J280" s="22"/>
      <c r="K280" s="75"/>
    </row>
    <row r="281" spans="10:11" ht="13.2" x14ac:dyDescent="0.25">
      <c r="J281" s="22"/>
      <c r="K281" s="75"/>
    </row>
    <row r="282" spans="10:11" ht="13.2" x14ac:dyDescent="0.25">
      <c r="J282" s="22"/>
      <c r="K282" s="75"/>
    </row>
    <row r="283" spans="10:11" ht="13.2" x14ac:dyDescent="0.25">
      <c r="J283" s="22"/>
      <c r="K283" s="75"/>
    </row>
    <row r="284" spans="10:11" ht="13.2" x14ac:dyDescent="0.25">
      <c r="J284" s="22"/>
      <c r="K284" s="75"/>
    </row>
    <row r="285" spans="10:11" ht="13.2" x14ac:dyDescent="0.25">
      <c r="J285" s="22"/>
      <c r="K285" s="75"/>
    </row>
    <row r="286" spans="10:11" ht="13.2" x14ac:dyDescent="0.25">
      <c r="J286" s="22"/>
      <c r="K286" s="75"/>
    </row>
    <row r="287" spans="10:11" ht="13.2" x14ac:dyDescent="0.25">
      <c r="J287" s="22"/>
      <c r="K287" s="75"/>
    </row>
    <row r="288" spans="10:11" ht="13.2" x14ac:dyDescent="0.25">
      <c r="J288" s="22"/>
      <c r="K288" s="75"/>
    </row>
    <row r="289" spans="10:11" ht="13.2" x14ac:dyDescent="0.25">
      <c r="J289" s="22"/>
      <c r="K289" s="75"/>
    </row>
    <row r="290" spans="10:11" ht="13.2" x14ac:dyDescent="0.25">
      <c r="J290" s="22"/>
      <c r="K290" s="75"/>
    </row>
    <row r="291" spans="10:11" ht="13.2" x14ac:dyDescent="0.25">
      <c r="J291" s="22"/>
      <c r="K291" s="75"/>
    </row>
    <row r="292" spans="10:11" ht="13.2" x14ac:dyDescent="0.25">
      <c r="J292" s="22"/>
      <c r="K292" s="75"/>
    </row>
    <row r="293" spans="10:11" ht="13.2" x14ac:dyDescent="0.25">
      <c r="J293" s="22"/>
      <c r="K293" s="75"/>
    </row>
    <row r="294" spans="10:11" ht="13.2" x14ac:dyDescent="0.25">
      <c r="J294" s="22"/>
      <c r="K294" s="75"/>
    </row>
    <row r="295" spans="10:11" ht="13.2" x14ac:dyDescent="0.25">
      <c r="J295" s="22"/>
      <c r="K295" s="75"/>
    </row>
    <row r="296" spans="10:11" ht="13.2" x14ac:dyDescent="0.25">
      <c r="J296" s="22"/>
      <c r="K296" s="75"/>
    </row>
    <row r="297" spans="10:11" ht="13.2" x14ac:dyDescent="0.25">
      <c r="J297" s="22"/>
      <c r="K297" s="75"/>
    </row>
    <row r="298" spans="10:11" ht="13.2" x14ac:dyDescent="0.25">
      <c r="J298" s="22"/>
      <c r="K298" s="75"/>
    </row>
    <row r="299" spans="10:11" ht="13.2" x14ac:dyDescent="0.25">
      <c r="J299" s="22"/>
      <c r="K299" s="75"/>
    </row>
    <row r="300" spans="10:11" ht="13.2" x14ac:dyDescent="0.25">
      <c r="J300" s="22"/>
      <c r="K300" s="75"/>
    </row>
    <row r="301" spans="10:11" ht="13.2" x14ac:dyDescent="0.25">
      <c r="J301" s="22"/>
      <c r="K301" s="75"/>
    </row>
    <row r="302" spans="10:11" ht="13.2" x14ac:dyDescent="0.25">
      <c r="J302" s="22"/>
      <c r="K302" s="75"/>
    </row>
    <row r="303" spans="10:11" ht="13.2" x14ac:dyDescent="0.25">
      <c r="J303" s="22"/>
      <c r="K303" s="75"/>
    </row>
    <row r="304" spans="10:11" ht="13.2" x14ac:dyDescent="0.25">
      <c r="J304" s="22"/>
      <c r="K304" s="75"/>
    </row>
    <row r="305" spans="10:11" ht="13.2" x14ac:dyDescent="0.25">
      <c r="J305" s="22"/>
      <c r="K305" s="75"/>
    </row>
    <row r="306" spans="10:11" ht="13.2" x14ac:dyDescent="0.25">
      <c r="J306" s="22"/>
      <c r="K306" s="75"/>
    </row>
    <row r="307" spans="10:11" ht="13.2" x14ac:dyDescent="0.25">
      <c r="J307" s="22"/>
      <c r="K307" s="75"/>
    </row>
    <row r="308" spans="10:11" ht="13.2" x14ac:dyDescent="0.25">
      <c r="J308" s="22"/>
      <c r="K308" s="75"/>
    </row>
    <row r="309" spans="10:11" ht="13.2" x14ac:dyDescent="0.25">
      <c r="J309" s="22"/>
      <c r="K309" s="75"/>
    </row>
    <row r="310" spans="10:11" ht="13.2" x14ac:dyDescent="0.25">
      <c r="J310" s="22"/>
      <c r="K310" s="75"/>
    </row>
    <row r="311" spans="10:11" ht="13.2" x14ac:dyDescent="0.25">
      <c r="J311" s="22"/>
      <c r="K311" s="75"/>
    </row>
    <row r="312" spans="10:11" ht="13.2" x14ac:dyDescent="0.25">
      <c r="J312" s="22"/>
      <c r="K312" s="75"/>
    </row>
    <row r="313" spans="10:11" ht="13.2" x14ac:dyDescent="0.25">
      <c r="J313" s="22"/>
      <c r="K313" s="75"/>
    </row>
    <row r="314" spans="10:11" ht="13.2" x14ac:dyDescent="0.25">
      <c r="J314" s="22"/>
      <c r="K314" s="75"/>
    </row>
    <row r="315" spans="10:11" ht="13.2" x14ac:dyDescent="0.25">
      <c r="J315" s="22"/>
      <c r="K315" s="75"/>
    </row>
    <row r="316" spans="10:11" ht="13.2" x14ac:dyDescent="0.25">
      <c r="J316" s="22"/>
      <c r="K316" s="75"/>
    </row>
    <row r="317" spans="10:11" ht="13.2" x14ac:dyDescent="0.25">
      <c r="J317" s="22"/>
      <c r="K317" s="75"/>
    </row>
    <row r="318" spans="10:11" ht="13.2" x14ac:dyDescent="0.25">
      <c r="J318" s="22"/>
      <c r="K318" s="75"/>
    </row>
    <row r="319" spans="10:11" ht="13.2" x14ac:dyDescent="0.25">
      <c r="J319" s="22"/>
      <c r="K319" s="75"/>
    </row>
    <row r="320" spans="10:11" ht="13.2" x14ac:dyDescent="0.25">
      <c r="J320" s="22"/>
      <c r="K320" s="75"/>
    </row>
    <row r="321" spans="10:11" ht="13.2" x14ac:dyDescent="0.25">
      <c r="J321" s="22"/>
      <c r="K321" s="75"/>
    </row>
    <row r="322" spans="10:11" ht="13.2" x14ac:dyDescent="0.25">
      <c r="J322" s="22"/>
      <c r="K322" s="75"/>
    </row>
    <row r="323" spans="10:11" ht="13.2" x14ac:dyDescent="0.25">
      <c r="J323" s="22"/>
      <c r="K323" s="75"/>
    </row>
    <row r="324" spans="10:11" ht="13.2" x14ac:dyDescent="0.25">
      <c r="J324" s="22"/>
      <c r="K324" s="75"/>
    </row>
    <row r="325" spans="10:11" ht="13.2" x14ac:dyDescent="0.25">
      <c r="J325" s="22"/>
      <c r="K325" s="75"/>
    </row>
    <row r="326" spans="10:11" ht="13.2" x14ac:dyDescent="0.25">
      <c r="J326" s="22"/>
      <c r="K326" s="75"/>
    </row>
    <row r="327" spans="10:11" ht="13.2" x14ac:dyDescent="0.25">
      <c r="J327" s="22"/>
      <c r="K327" s="75"/>
    </row>
    <row r="328" spans="10:11" ht="13.2" x14ac:dyDescent="0.25">
      <c r="J328" s="22"/>
      <c r="K328" s="75"/>
    </row>
    <row r="329" spans="10:11" ht="13.2" x14ac:dyDescent="0.25">
      <c r="J329" s="22"/>
      <c r="K329" s="75"/>
    </row>
    <row r="330" spans="10:11" ht="13.2" x14ac:dyDescent="0.25">
      <c r="J330" s="22"/>
      <c r="K330" s="75"/>
    </row>
    <row r="331" spans="10:11" ht="13.2" x14ac:dyDescent="0.25">
      <c r="J331" s="22"/>
      <c r="K331" s="75"/>
    </row>
    <row r="332" spans="10:11" ht="13.2" x14ac:dyDescent="0.25">
      <c r="J332" s="22"/>
      <c r="K332" s="75"/>
    </row>
    <row r="333" spans="10:11" ht="13.2" x14ac:dyDescent="0.25">
      <c r="J333" s="22"/>
      <c r="K333" s="75"/>
    </row>
    <row r="334" spans="10:11" ht="13.2" x14ac:dyDescent="0.25">
      <c r="J334" s="22"/>
      <c r="K334" s="75"/>
    </row>
    <row r="335" spans="10:11" ht="13.2" x14ac:dyDescent="0.25">
      <c r="J335" s="22"/>
      <c r="K335" s="75"/>
    </row>
    <row r="336" spans="10:11" ht="13.2" x14ac:dyDescent="0.25">
      <c r="J336" s="22"/>
      <c r="K336" s="75"/>
    </row>
    <row r="337" spans="10:11" ht="13.2" x14ac:dyDescent="0.25">
      <c r="J337" s="22"/>
      <c r="K337" s="75"/>
    </row>
    <row r="338" spans="10:11" ht="13.2" x14ac:dyDescent="0.25">
      <c r="J338" s="22"/>
      <c r="K338" s="75"/>
    </row>
    <row r="339" spans="10:11" ht="13.2" x14ac:dyDescent="0.25">
      <c r="J339" s="22"/>
      <c r="K339" s="75"/>
    </row>
    <row r="340" spans="10:11" ht="13.2" x14ac:dyDescent="0.25">
      <c r="J340" s="22"/>
      <c r="K340" s="75"/>
    </row>
    <row r="341" spans="10:11" ht="13.2" x14ac:dyDescent="0.25">
      <c r="J341" s="22"/>
      <c r="K341" s="75"/>
    </row>
    <row r="342" spans="10:11" ht="13.2" x14ac:dyDescent="0.25">
      <c r="J342" s="22"/>
      <c r="K342" s="75"/>
    </row>
    <row r="343" spans="10:11" ht="13.2" x14ac:dyDescent="0.25">
      <c r="J343" s="22"/>
      <c r="K343" s="75"/>
    </row>
    <row r="344" spans="10:11" ht="13.2" x14ac:dyDescent="0.25">
      <c r="J344" s="22"/>
      <c r="K344" s="75"/>
    </row>
    <row r="345" spans="10:11" ht="13.2" x14ac:dyDescent="0.25">
      <c r="J345" s="22"/>
      <c r="K345" s="75"/>
    </row>
    <row r="346" spans="10:11" ht="13.2" x14ac:dyDescent="0.25">
      <c r="J346" s="22"/>
      <c r="K346" s="75"/>
    </row>
    <row r="347" spans="10:11" ht="13.2" x14ac:dyDescent="0.25">
      <c r="J347" s="22"/>
      <c r="K347" s="75"/>
    </row>
    <row r="348" spans="10:11" ht="13.2" x14ac:dyDescent="0.25">
      <c r="J348" s="22"/>
      <c r="K348" s="75"/>
    </row>
    <row r="349" spans="10:11" ht="13.2" x14ac:dyDescent="0.25">
      <c r="J349" s="22"/>
      <c r="K349" s="75"/>
    </row>
    <row r="350" spans="10:11" ht="13.2" x14ac:dyDescent="0.25">
      <c r="J350" s="22"/>
      <c r="K350" s="75"/>
    </row>
    <row r="351" spans="10:11" ht="13.2" x14ac:dyDescent="0.25">
      <c r="J351" s="22"/>
      <c r="K351" s="75"/>
    </row>
    <row r="352" spans="10:11" ht="13.2" x14ac:dyDescent="0.25">
      <c r="J352" s="22"/>
      <c r="K352" s="75"/>
    </row>
    <row r="353" spans="10:11" ht="13.2" x14ac:dyDescent="0.25">
      <c r="J353" s="22"/>
      <c r="K353" s="75"/>
    </row>
    <row r="354" spans="10:11" ht="13.2" x14ac:dyDescent="0.25">
      <c r="J354" s="22"/>
      <c r="K354" s="75"/>
    </row>
    <row r="355" spans="10:11" ht="13.2" x14ac:dyDescent="0.25">
      <c r="J355" s="22"/>
      <c r="K355" s="75"/>
    </row>
    <row r="356" spans="10:11" ht="13.2" x14ac:dyDescent="0.25">
      <c r="J356" s="22"/>
      <c r="K356" s="75"/>
    </row>
    <row r="357" spans="10:11" ht="13.2" x14ac:dyDescent="0.25">
      <c r="J357" s="22"/>
      <c r="K357" s="75"/>
    </row>
    <row r="358" spans="10:11" ht="13.2" x14ac:dyDescent="0.25">
      <c r="J358" s="22"/>
      <c r="K358" s="75"/>
    </row>
    <row r="359" spans="10:11" ht="13.2" x14ac:dyDescent="0.25">
      <c r="J359" s="22"/>
      <c r="K359" s="75"/>
    </row>
    <row r="360" spans="10:11" ht="13.2" x14ac:dyDescent="0.25">
      <c r="J360" s="22"/>
      <c r="K360" s="75"/>
    </row>
    <row r="361" spans="10:11" ht="13.2" x14ac:dyDescent="0.25">
      <c r="J361" s="22"/>
      <c r="K361" s="75"/>
    </row>
    <row r="362" spans="10:11" ht="13.2" x14ac:dyDescent="0.25">
      <c r="J362" s="22"/>
      <c r="K362" s="75"/>
    </row>
    <row r="363" spans="10:11" ht="13.2" x14ac:dyDescent="0.25">
      <c r="J363" s="22"/>
      <c r="K363" s="75"/>
    </row>
    <row r="364" spans="10:11" ht="13.2" x14ac:dyDescent="0.25">
      <c r="J364" s="22"/>
      <c r="K364" s="75"/>
    </row>
    <row r="365" spans="10:11" ht="13.2" x14ac:dyDescent="0.25">
      <c r="J365" s="22"/>
      <c r="K365" s="75"/>
    </row>
    <row r="366" spans="10:11" ht="13.2" x14ac:dyDescent="0.25">
      <c r="J366" s="22"/>
      <c r="K366" s="75"/>
    </row>
    <row r="367" spans="10:11" ht="13.2" x14ac:dyDescent="0.25">
      <c r="J367" s="22"/>
      <c r="K367" s="75"/>
    </row>
    <row r="368" spans="10:11" ht="13.2" x14ac:dyDescent="0.25">
      <c r="J368" s="22"/>
      <c r="K368" s="75"/>
    </row>
    <row r="369" spans="10:11" ht="13.2" x14ac:dyDescent="0.25">
      <c r="J369" s="22"/>
      <c r="K369" s="75"/>
    </row>
    <row r="370" spans="10:11" ht="13.2" x14ac:dyDescent="0.25">
      <c r="J370" s="22"/>
      <c r="K370" s="75"/>
    </row>
    <row r="371" spans="10:11" ht="13.2" x14ac:dyDescent="0.25">
      <c r="J371" s="22"/>
      <c r="K371" s="75"/>
    </row>
    <row r="372" spans="10:11" ht="13.2" x14ac:dyDescent="0.25">
      <c r="J372" s="22"/>
      <c r="K372" s="75"/>
    </row>
    <row r="373" spans="10:11" ht="13.2" x14ac:dyDescent="0.25">
      <c r="J373" s="22"/>
      <c r="K373" s="75"/>
    </row>
    <row r="374" spans="10:11" ht="13.2" x14ac:dyDescent="0.25">
      <c r="J374" s="22"/>
      <c r="K374" s="75"/>
    </row>
    <row r="375" spans="10:11" ht="13.2" x14ac:dyDescent="0.25">
      <c r="J375" s="22"/>
      <c r="K375" s="75"/>
    </row>
    <row r="376" spans="10:11" ht="13.2" x14ac:dyDescent="0.25">
      <c r="J376" s="22"/>
      <c r="K376" s="75"/>
    </row>
    <row r="377" spans="10:11" ht="13.2" x14ac:dyDescent="0.25">
      <c r="J377" s="22"/>
      <c r="K377" s="75"/>
    </row>
    <row r="378" spans="10:11" ht="13.2" x14ac:dyDescent="0.25">
      <c r="J378" s="22"/>
      <c r="K378" s="75"/>
    </row>
    <row r="379" spans="10:11" ht="13.2" x14ac:dyDescent="0.25">
      <c r="J379" s="22"/>
      <c r="K379" s="75"/>
    </row>
    <row r="380" spans="10:11" ht="13.2" x14ac:dyDescent="0.25">
      <c r="J380" s="22"/>
      <c r="K380" s="75"/>
    </row>
    <row r="381" spans="10:11" ht="13.2" x14ac:dyDescent="0.25">
      <c r="J381" s="22"/>
      <c r="K381" s="75"/>
    </row>
    <row r="382" spans="10:11" ht="13.2" x14ac:dyDescent="0.25">
      <c r="J382" s="22"/>
      <c r="K382" s="75"/>
    </row>
    <row r="383" spans="10:11" ht="13.2" x14ac:dyDescent="0.25">
      <c r="J383" s="22"/>
      <c r="K383" s="75"/>
    </row>
    <row r="384" spans="10:11" ht="13.2" x14ac:dyDescent="0.25">
      <c r="J384" s="22"/>
      <c r="K384" s="75"/>
    </row>
    <row r="385" spans="10:11" ht="13.2" x14ac:dyDescent="0.25">
      <c r="J385" s="22"/>
      <c r="K385" s="75"/>
    </row>
    <row r="386" spans="10:11" ht="13.2" x14ac:dyDescent="0.25">
      <c r="J386" s="22"/>
      <c r="K386" s="75"/>
    </row>
    <row r="387" spans="10:11" ht="13.2" x14ac:dyDescent="0.25">
      <c r="J387" s="22"/>
      <c r="K387" s="75"/>
    </row>
    <row r="388" spans="10:11" ht="13.2" x14ac:dyDescent="0.25">
      <c r="J388" s="22"/>
      <c r="K388" s="75"/>
    </row>
    <row r="389" spans="10:11" ht="13.2" x14ac:dyDescent="0.25">
      <c r="J389" s="22"/>
      <c r="K389" s="75"/>
    </row>
    <row r="390" spans="10:11" ht="13.2" x14ac:dyDescent="0.25">
      <c r="J390" s="22"/>
      <c r="K390" s="75"/>
    </row>
    <row r="391" spans="10:11" ht="13.2" x14ac:dyDescent="0.25">
      <c r="J391" s="22"/>
      <c r="K391" s="75"/>
    </row>
    <row r="392" spans="10:11" ht="13.2" x14ac:dyDescent="0.25">
      <c r="J392" s="22"/>
      <c r="K392" s="75"/>
    </row>
    <row r="393" spans="10:11" ht="13.2" x14ac:dyDescent="0.25">
      <c r="J393" s="22"/>
      <c r="K393" s="75"/>
    </row>
    <row r="394" spans="10:11" ht="13.2" x14ac:dyDescent="0.25">
      <c r="J394" s="22"/>
      <c r="K394" s="75"/>
    </row>
    <row r="395" spans="10:11" ht="13.2" x14ac:dyDescent="0.25">
      <c r="J395" s="22"/>
      <c r="K395" s="75"/>
    </row>
    <row r="396" spans="10:11" ht="13.2" x14ac:dyDescent="0.25">
      <c r="J396" s="22"/>
      <c r="K396" s="75"/>
    </row>
    <row r="397" spans="10:11" ht="13.2" x14ac:dyDescent="0.25">
      <c r="J397" s="22"/>
      <c r="K397" s="75"/>
    </row>
    <row r="398" spans="10:11" ht="13.2" x14ac:dyDescent="0.25">
      <c r="J398" s="22"/>
      <c r="K398" s="75"/>
    </row>
    <row r="399" spans="10:11" ht="13.2" x14ac:dyDescent="0.25">
      <c r="J399" s="22"/>
      <c r="K399" s="75"/>
    </row>
    <row r="400" spans="10:11" ht="13.2" x14ac:dyDescent="0.25">
      <c r="J400" s="22"/>
      <c r="K400" s="75"/>
    </row>
    <row r="401" spans="10:11" ht="13.2" x14ac:dyDescent="0.25">
      <c r="J401" s="22"/>
      <c r="K401" s="75"/>
    </row>
    <row r="402" spans="10:11" ht="13.2" x14ac:dyDescent="0.25">
      <c r="J402" s="22"/>
      <c r="K402" s="75"/>
    </row>
    <row r="403" spans="10:11" ht="13.2" x14ac:dyDescent="0.25">
      <c r="J403" s="22"/>
      <c r="K403" s="75"/>
    </row>
    <row r="404" spans="10:11" ht="13.2" x14ac:dyDescent="0.25">
      <c r="J404" s="22"/>
      <c r="K404" s="75"/>
    </row>
    <row r="405" spans="10:11" ht="13.2" x14ac:dyDescent="0.25">
      <c r="J405" s="22"/>
      <c r="K405" s="75"/>
    </row>
    <row r="406" spans="10:11" ht="13.2" x14ac:dyDescent="0.25">
      <c r="J406" s="22"/>
      <c r="K406" s="75"/>
    </row>
    <row r="407" spans="10:11" ht="13.2" x14ac:dyDescent="0.25">
      <c r="J407" s="22"/>
      <c r="K407" s="75"/>
    </row>
    <row r="408" spans="10:11" ht="13.2" x14ac:dyDescent="0.25">
      <c r="J408" s="22"/>
      <c r="K408" s="75"/>
    </row>
    <row r="409" spans="10:11" ht="13.2" x14ac:dyDescent="0.25">
      <c r="J409" s="22"/>
      <c r="K409" s="75"/>
    </row>
    <row r="410" spans="10:11" ht="13.2" x14ac:dyDescent="0.25">
      <c r="J410" s="22"/>
      <c r="K410" s="75"/>
    </row>
    <row r="411" spans="10:11" ht="13.2" x14ac:dyDescent="0.25">
      <c r="J411" s="22"/>
      <c r="K411" s="75"/>
    </row>
    <row r="412" spans="10:11" ht="13.2" x14ac:dyDescent="0.25">
      <c r="J412" s="22"/>
      <c r="K412" s="75"/>
    </row>
    <row r="413" spans="10:11" ht="13.2" x14ac:dyDescent="0.25">
      <c r="J413" s="22"/>
      <c r="K413" s="75"/>
    </row>
    <row r="414" spans="10:11" ht="13.2" x14ac:dyDescent="0.25">
      <c r="J414" s="22"/>
      <c r="K414" s="75"/>
    </row>
    <row r="415" spans="10:11" ht="13.2" x14ac:dyDescent="0.25">
      <c r="J415" s="22"/>
      <c r="K415" s="75"/>
    </row>
    <row r="416" spans="10:11" ht="13.2" x14ac:dyDescent="0.25">
      <c r="J416" s="22"/>
      <c r="K416" s="75"/>
    </row>
    <row r="417" spans="10:11" ht="13.2" x14ac:dyDescent="0.25">
      <c r="J417" s="22"/>
      <c r="K417" s="75"/>
    </row>
    <row r="418" spans="10:11" ht="13.2" x14ac:dyDescent="0.25">
      <c r="J418" s="22"/>
      <c r="K418" s="75"/>
    </row>
    <row r="419" spans="10:11" ht="13.2" x14ac:dyDescent="0.25">
      <c r="J419" s="22"/>
      <c r="K419" s="75"/>
    </row>
    <row r="420" spans="10:11" ht="13.2" x14ac:dyDescent="0.25">
      <c r="J420" s="22"/>
      <c r="K420" s="75"/>
    </row>
    <row r="421" spans="10:11" ht="13.2" x14ac:dyDescent="0.25">
      <c r="J421" s="22"/>
      <c r="K421" s="75"/>
    </row>
    <row r="422" spans="10:11" ht="13.2" x14ac:dyDescent="0.25">
      <c r="J422" s="22"/>
      <c r="K422" s="75"/>
    </row>
    <row r="423" spans="10:11" ht="13.2" x14ac:dyDescent="0.25">
      <c r="J423" s="22"/>
      <c r="K423" s="75"/>
    </row>
    <row r="424" spans="10:11" ht="13.2" x14ac:dyDescent="0.25">
      <c r="J424" s="22"/>
      <c r="K424" s="75"/>
    </row>
    <row r="425" spans="10:11" ht="13.2" x14ac:dyDescent="0.25">
      <c r="J425" s="22"/>
      <c r="K425" s="75"/>
    </row>
    <row r="426" spans="10:11" ht="13.2" x14ac:dyDescent="0.25">
      <c r="J426" s="22"/>
      <c r="K426" s="75"/>
    </row>
    <row r="427" spans="10:11" ht="13.2" x14ac:dyDescent="0.25">
      <c r="J427" s="22"/>
      <c r="K427" s="75"/>
    </row>
    <row r="428" spans="10:11" ht="13.2" x14ac:dyDescent="0.25">
      <c r="J428" s="22"/>
      <c r="K428" s="75"/>
    </row>
    <row r="429" spans="10:11" ht="13.2" x14ac:dyDescent="0.25">
      <c r="J429" s="22"/>
      <c r="K429" s="75"/>
    </row>
    <row r="430" spans="10:11" ht="13.2" x14ac:dyDescent="0.25">
      <c r="J430" s="22"/>
      <c r="K430" s="75"/>
    </row>
    <row r="431" spans="10:11" ht="13.2" x14ac:dyDescent="0.25">
      <c r="J431" s="22"/>
      <c r="K431" s="75"/>
    </row>
    <row r="432" spans="10:11" ht="13.2" x14ac:dyDescent="0.25">
      <c r="J432" s="22"/>
      <c r="K432" s="75"/>
    </row>
    <row r="433" spans="10:11" ht="13.2" x14ac:dyDescent="0.25">
      <c r="J433" s="22"/>
      <c r="K433" s="75"/>
    </row>
    <row r="434" spans="10:11" ht="13.2" x14ac:dyDescent="0.25">
      <c r="J434" s="22"/>
      <c r="K434" s="75"/>
    </row>
    <row r="435" spans="10:11" ht="13.2" x14ac:dyDescent="0.25">
      <c r="J435" s="22"/>
      <c r="K435" s="75"/>
    </row>
    <row r="436" spans="10:11" ht="13.2" x14ac:dyDescent="0.25">
      <c r="J436" s="22"/>
      <c r="K436" s="75"/>
    </row>
    <row r="437" spans="10:11" ht="13.2" x14ac:dyDescent="0.25">
      <c r="J437" s="22"/>
      <c r="K437" s="75"/>
    </row>
    <row r="438" spans="10:11" ht="13.2" x14ac:dyDescent="0.25">
      <c r="J438" s="22"/>
      <c r="K438" s="75"/>
    </row>
    <row r="439" spans="10:11" ht="13.2" x14ac:dyDescent="0.25">
      <c r="J439" s="22"/>
      <c r="K439" s="75"/>
    </row>
    <row r="440" spans="10:11" ht="13.2" x14ac:dyDescent="0.25">
      <c r="J440" s="22"/>
      <c r="K440" s="75"/>
    </row>
    <row r="441" spans="10:11" ht="13.2" x14ac:dyDescent="0.25">
      <c r="J441" s="22"/>
      <c r="K441" s="75"/>
    </row>
    <row r="442" spans="10:11" ht="13.2" x14ac:dyDescent="0.25">
      <c r="J442" s="22"/>
      <c r="K442" s="75"/>
    </row>
    <row r="443" spans="10:11" ht="13.2" x14ac:dyDescent="0.25">
      <c r="J443" s="22"/>
      <c r="K443" s="75"/>
    </row>
    <row r="444" spans="10:11" ht="13.2" x14ac:dyDescent="0.25">
      <c r="J444" s="22"/>
      <c r="K444" s="75"/>
    </row>
    <row r="445" spans="10:11" ht="13.2" x14ac:dyDescent="0.25">
      <c r="J445" s="22"/>
      <c r="K445" s="75"/>
    </row>
    <row r="446" spans="10:11" ht="13.2" x14ac:dyDescent="0.25">
      <c r="J446" s="22"/>
      <c r="K446" s="75"/>
    </row>
    <row r="447" spans="10:11" ht="13.2" x14ac:dyDescent="0.25">
      <c r="J447" s="22"/>
      <c r="K447" s="75"/>
    </row>
    <row r="448" spans="10:11" ht="13.2" x14ac:dyDescent="0.25">
      <c r="J448" s="22"/>
      <c r="K448" s="75"/>
    </row>
    <row r="449" spans="10:11" ht="13.2" x14ac:dyDescent="0.25">
      <c r="J449" s="22"/>
      <c r="K449" s="75"/>
    </row>
    <row r="450" spans="10:11" ht="13.2" x14ac:dyDescent="0.25">
      <c r="J450" s="22"/>
      <c r="K450" s="75"/>
    </row>
    <row r="451" spans="10:11" ht="13.2" x14ac:dyDescent="0.25">
      <c r="J451" s="22"/>
      <c r="K451" s="75"/>
    </row>
    <row r="452" spans="10:11" ht="13.2" x14ac:dyDescent="0.25">
      <c r="J452" s="22"/>
      <c r="K452" s="75"/>
    </row>
    <row r="453" spans="10:11" ht="13.2" x14ac:dyDescent="0.25">
      <c r="J453" s="22"/>
      <c r="K453" s="75"/>
    </row>
    <row r="454" spans="10:11" ht="13.2" x14ac:dyDescent="0.25">
      <c r="J454" s="22"/>
      <c r="K454" s="75"/>
    </row>
    <row r="455" spans="10:11" ht="13.2" x14ac:dyDescent="0.25">
      <c r="J455" s="22"/>
      <c r="K455" s="75"/>
    </row>
    <row r="456" spans="10:11" ht="13.2" x14ac:dyDescent="0.25">
      <c r="J456" s="22"/>
      <c r="K456" s="75"/>
    </row>
    <row r="457" spans="10:11" ht="13.2" x14ac:dyDescent="0.25">
      <c r="J457" s="22"/>
      <c r="K457" s="75"/>
    </row>
    <row r="458" spans="10:11" ht="13.2" x14ac:dyDescent="0.25">
      <c r="J458" s="22"/>
      <c r="K458" s="75"/>
    </row>
    <row r="459" spans="10:11" ht="13.2" x14ac:dyDescent="0.25">
      <c r="J459" s="22"/>
      <c r="K459" s="75"/>
    </row>
    <row r="460" spans="10:11" ht="13.2" x14ac:dyDescent="0.25">
      <c r="J460" s="22"/>
      <c r="K460" s="75"/>
    </row>
    <row r="461" spans="10:11" ht="13.2" x14ac:dyDescent="0.25">
      <c r="J461" s="22"/>
      <c r="K461" s="75"/>
    </row>
    <row r="462" spans="10:11" ht="13.2" x14ac:dyDescent="0.25">
      <c r="J462" s="22"/>
      <c r="K462" s="75"/>
    </row>
    <row r="463" spans="10:11" ht="13.2" x14ac:dyDescent="0.25">
      <c r="J463" s="22"/>
      <c r="K463" s="75"/>
    </row>
    <row r="464" spans="10:11" ht="13.2" x14ac:dyDescent="0.25">
      <c r="J464" s="22"/>
      <c r="K464" s="75"/>
    </row>
    <row r="465" spans="10:11" ht="13.2" x14ac:dyDescent="0.25">
      <c r="J465" s="22"/>
      <c r="K465" s="75"/>
    </row>
    <row r="466" spans="10:11" ht="13.2" x14ac:dyDescent="0.25">
      <c r="J466" s="22"/>
      <c r="K466" s="75"/>
    </row>
    <row r="467" spans="10:11" ht="13.2" x14ac:dyDescent="0.25">
      <c r="J467" s="22"/>
      <c r="K467" s="75"/>
    </row>
    <row r="468" spans="10:11" ht="13.2" x14ac:dyDescent="0.25">
      <c r="J468" s="22"/>
      <c r="K468" s="75"/>
    </row>
    <row r="469" spans="10:11" ht="13.2" x14ac:dyDescent="0.25">
      <c r="J469" s="22"/>
      <c r="K469" s="75"/>
    </row>
    <row r="470" spans="10:11" ht="13.2" x14ac:dyDescent="0.25">
      <c r="J470" s="22"/>
      <c r="K470" s="75"/>
    </row>
    <row r="471" spans="10:11" ht="13.2" x14ac:dyDescent="0.25">
      <c r="J471" s="22"/>
      <c r="K471" s="75"/>
    </row>
    <row r="472" spans="10:11" ht="13.2" x14ac:dyDescent="0.25">
      <c r="J472" s="22"/>
      <c r="K472" s="75"/>
    </row>
    <row r="473" spans="10:11" ht="13.2" x14ac:dyDescent="0.25">
      <c r="J473" s="22"/>
      <c r="K473" s="75"/>
    </row>
    <row r="474" spans="10:11" ht="13.2" x14ac:dyDescent="0.25">
      <c r="J474" s="22"/>
      <c r="K474" s="75"/>
    </row>
    <row r="475" spans="10:11" ht="13.2" x14ac:dyDescent="0.25">
      <c r="J475" s="22"/>
      <c r="K475" s="75"/>
    </row>
    <row r="476" spans="10:11" ht="13.2" x14ac:dyDescent="0.25">
      <c r="J476" s="22"/>
      <c r="K476" s="75"/>
    </row>
    <row r="477" spans="10:11" ht="13.2" x14ac:dyDescent="0.25">
      <c r="J477" s="22"/>
      <c r="K477" s="75"/>
    </row>
    <row r="478" spans="10:11" ht="13.2" x14ac:dyDescent="0.25">
      <c r="J478" s="22"/>
      <c r="K478" s="75"/>
    </row>
    <row r="479" spans="10:11" ht="13.2" x14ac:dyDescent="0.25">
      <c r="J479" s="22"/>
      <c r="K479" s="75"/>
    </row>
    <row r="480" spans="10:11" ht="13.2" x14ac:dyDescent="0.25">
      <c r="J480" s="22"/>
      <c r="K480" s="75"/>
    </row>
    <row r="481" spans="10:11" ht="13.2" x14ac:dyDescent="0.25">
      <c r="J481" s="22"/>
      <c r="K481" s="75"/>
    </row>
    <row r="482" spans="10:11" ht="13.2" x14ac:dyDescent="0.25">
      <c r="J482" s="22"/>
      <c r="K482" s="75"/>
    </row>
    <row r="483" spans="10:11" ht="13.2" x14ac:dyDescent="0.25">
      <c r="J483" s="22"/>
      <c r="K483" s="75"/>
    </row>
    <row r="484" spans="10:11" ht="13.2" x14ac:dyDescent="0.25">
      <c r="J484" s="22"/>
      <c r="K484" s="75"/>
    </row>
    <row r="485" spans="10:11" ht="13.2" x14ac:dyDescent="0.25">
      <c r="J485" s="22"/>
      <c r="K485" s="75"/>
    </row>
    <row r="486" spans="10:11" ht="13.2" x14ac:dyDescent="0.25">
      <c r="J486" s="22"/>
      <c r="K486" s="75"/>
    </row>
    <row r="487" spans="10:11" ht="13.2" x14ac:dyDescent="0.25">
      <c r="J487" s="22"/>
      <c r="K487" s="75"/>
    </row>
    <row r="488" spans="10:11" ht="13.2" x14ac:dyDescent="0.25">
      <c r="J488" s="22"/>
      <c r="K488" s="75"/>
    </row>
    <row r="489" spans="10:11" ht="13.2" x14ac:dyDescent="0.25">
      <c r="J489" s="22"/>
      <c r="K489" s="75"/>
    </row>
    <row r="490" spans="10:11" ht="13.2" x14ac:dyDescent="0.25">
      <c r="J490" s="22"/>
      <c r="K490" s="75"/>
    </row>
    <row r="491" spans="10:11" ht="13.2" x14ac:dyDescent="0.25">
      <c r="J491" s="22"/>
      <c r="K491" s="75"/>
    </row>
    <row r="492" spans="10:11" ht="13.2" x14ac:dyDescent="0.25">
      <c r="J492" s="22"/>
      <c r="K492" s="75"/>
    </row>
    <row r="493" spans="10:11" ht="13.2" x14ac:dyDescent="0.25">
      <c r="J493" s="22"/>
      <c r="K493" s="75"/>
    </row>
    <row r="494" spans="10:11" ht="13.2" x14ac:dyDescent="0.25">
      <c r="J494" s="22"/>
      <c r="K494" s="75"/>
    </row>
    <row r="495" spans="10:11" ht="13.2" x14ac:dyDescent="0.25">
      <c r="J495" s="22"/>
      <c r="K495" s="75"/>
    </row>
    <row r="496" spans="10:11" ht="13.2" x14ac:dyDescent="0.25">
      <c r="J496" s="22"/>
      <c r="K496" s="75"/>
    </row>
    <row r="497" spans="10:11" ht="13.2" x14ac:dyDescent="0.25">
      <c r="J497" s="22"/>
      <c r="K497" s="75"/>
    </row>
    <row r="498" spans="10:11" ht="13.2" x14ac:dyDescent="0.25">
      <c r="J498" s="22"/>
      <c r="K498" s="75"/>
    </row>
    <row r="499" spans="10:11" ht="13.2" x14ac:dyDescent="0.25">
      <c r="J499" s="22"/>
      <c r="K499" s="75"/>
    </row>
    <row r="500" spans="10:11" ht="13.2" x14ac:dyDescent="0.25">
      <c r="J500" s="22"/>
      <c r="K500" s="75"/>
    </row>
    <row r="501" spans="10:11" ht="13.2" x14ac:dyDescent="0.25">
      <c r="J501" s="22"/>
      <c r="K501" s="75"/>
    </row>
    <row r="502" spans="10:11" ht="13.2" x14ac:dyDescent="0.25">
      <c r="J502" s="22"/>
      <c r="K502" s="75"/>
    </row>
    <row r="503" spans="10:11" ht="13.2" x14ac:dyDescent="0.25">
      <c r="J503" s="22"/>
      <c r="K503" s="75"/>
    </row>
    <row r="504" spans="10:11" ht="13.2" x14ac:dyDescent="0.25">
      <c r="J504" s="22"/>
      <c r="K504" s="75"/>
    </row>
    <row r="505" spans="10:11" ht="13.2" x14ac:dyDescent="0.25">
      <c r="J505" s="22"/>
      <c r="K505" s="75"/>
    </row>
    <row r="506" spans="10:11" ht="13.2" x14ac:dyDescent="0.25">
      <c r="J506" s="22"/>
      <c r="K506" s="75"/>
    </row>
    <row r="507" spans="10:11" ht="13.2" x14ac:dyDescent="0.25">
      <c r="J507" s="22"/>
      <c r="K507" s="75"/>
    </row>
    <row r="508" spans="10:11" ht="13.2" x14ac:dyDescent="0.25">
      <c r="J508" s="22"/>
      <c r="K508" s="75"/>
    </row>
    <row r="509" spans="10:11" ht="13.2" x14ac:dyDescent="0.25">
      <c r="J509" s="22"/>
      <c r="K509" s="75"/>
    </row>
    <row r="510" spans="10:11" ht="13.2" x14ac:dyDescent="0.25">
      <c r="J510" s="22"/>
      <c r="K510" s="75"/>
    </row>
    <row r="511" spans="10:11" ht="13.2" x14ac:dyDescent="0.25">
      <c r="J511" s="22"/>
      <c r="K511" s="75"/>
    </row>
    <row r="512" spans="10:11" ht="13.2" x14ac:dyDescent="0.25">
      <c r="J512" s="22"/>
      <c r="K512" s="75"/>
    </row>
    <row r="513" spans="10:11" ht="13.2" x14ac:dyDescent="0.25">
      <c r="J513" s="22"/>
      <c r="K513" s="75"/>
    </row>
    <row r="514" spans="10:11" ht="13.2" x14ac:dyDescent="0.25">
      <c r="J514" s="22"/>
      <c r="K514" s="75"/>
    </row>
    <row r="515" spans="10:11" ht="13.2" x14ac:dyDescent="0.25">
      <c r="J515" s="22"/>
      <c r="K515" s="75"/>
    </row>
    <row r="516" spans="10:11" ht="13.2" x14ac:dyDescent="0.25">
      <c r="J516" s="22"/>
      <c r="K516" s="75"/>
    </row>
    <row r="517" spans="10:11" ht="13.2" x14ac:dyDescent="0.25">
      <c r="J517" s="22"/>
      <c r="K517" s="75"/>
    </row>
    <row r="518" spans="10:11" ht="13.2" x14ac:dyDescent="0.25">
      <c r="J518" s="22"/>
      <c r="K518" s="75"/>
    </row>
    <row r="519" spans="10:11" ht="13.2" x14ac:dyDescent="0.25">
      <c r="J519" s="22"/>
      <c r="K519" s="75"/>
    </row>
    <row r="520" spans="10:11" ht="13.2" x14ac:dyDescent="0.25">
      <c r="J520" s="22"/>
      <c r="K520" s="75"/>
    </row>
    <row r="521" spans="10:11" ht="13.2" x14ac:dyDescent="0.25">
      <c r="J521" s="22"/>
      <c r="K521" s="75"/>
    </row>
    <row r="522" spans="10:11" ht="13.2" x14ac:dyDescent="0.25">
      <c r="J522" s="22"/>
      <c r="K522" s="75"/>
    </row>
    <row r="523" spans="10:11" ht="13.2" x14ac:dyDescent="0.25">
      <c r="J523" s="22"/>
      <c r="K523" s="75"/>
    </row>
    <row r="524" spans="10:11" ht="13.2" x14ac:dyDescent="0.25">
      <c r="J524" s="22"/>
      <c r="K524" s="75"/>
    </row>
    <row r="525" spans="10:11" ht="13.2" x14ac:dyDescent="0.25">
      <c r="J525" s="22"/>
      <c r="K525" s="75"/>
    </row>
    <row r="526" spans="10:11" ht="13.2" x14ac:dyDescent="0.25">
      <c r="J526" s="22"/>
      <c r="K526" s="75"/>
    </row>
    <row r="527" spans="10:11" ht="13.2" x14ac:dyDescent="0.25">
      <c r="J527" s="22"/>
      <c r="K527" s="75"/>
    </row>
    <row r="528" spans="10:11" ht="13.2" x14ac:dyDescent="0.25">
      <c r="J528" s="22"/>
      <c r="K528" s="75"/>
    </row>
    <row r="529" spans="10:11" ht="13.2" x14ac:dyDescent="0.25">
      <c r="J529" s="22"/>
      <c r="K529" s="75"/>
    </row>
    <row r="530" spans="10:11" ht="13.2" x14ac:dyDescent="0.25">
      <c r="J530" s="22"/>
      <c r="K530" s="75"/>
    </row>
    <row r="531" spans="10:11" ht="13.2" x14ac:dyDescent="0.25">
      <c r="J531" s="22"/>
      <c r="K531" s="75"/>
    </row>
    <row r="532" spans="10:11" ht="13.2" x14ac:dyDescent="0.25">
      <c r="J532" s="22"/>
      <c r="K532" s="75"/>
    </row>
    <row r="533" spans="10:11" ht="13.2" x14ac:dyDescent="0.25">
      <c r="J533" s="22"/>
      <c r="K533" s="75"/>
    </row>
    <row r="534" spans="10:11" ht="13.2" x14ac:dyDescent="0.25">
      <c r="J534" s="22"/>
      <c r="K534" s="75"/>
    </row>
    <row r="535" spans="10:11" ht="13.2" x14ac:dyDescent="0.25">
      <c r="J535" s="22"/>
      <c r="K535" s="75"/>
    </row>
    <row r="536" spans="10:11" ht="13.2" x14ac:dyDescent="0.25">
      <c r="J536" s="22"/>
      <c r="K536" s="75"/>
    </row>
    <row r="537" spans="10:11" ht="13.2" x14ac:dyDescent="0.25">
      <c r="J537" s="22"/>
      <c r="K537" s="75"/>
    </row>
    <row r="538" spans="10:11" ht="13.2" x14ac:dyDescent="0.25">
      <c r="J538" s="22"/>
      <c r="K538" s="75"/>
    </row>
    <row r="539" spans="10:11" ht="13.2" x14ac:dyDescent="0.25">
      <c r="J539" s="22"/>
      <c r="K539" s="75"/>
    </row>
    <row r="540" spans="10:11" ht="13.2" x14ac:dyDescent="0.25">
      <c r="J540" s="22"/>
      <c r="K540" s="75"/>
    </row>
    <row r="541" spans="10:11" ht="13.2" x14ac:dyDescent="0.25">
      <c r="J541" s="22"/>
      <c r="K541" s="75"/>
    </row>
    <row r="542" spans="10:11" ht="13.2" x14ac:dyDescent="0.25">
      <c r="J542" s="22"/>
      <c r="K542" s="75"/>
    </row>
    <row r="543" spans="10:11" ht="13.2" x14ac:dyDescent="0.25">
      <c r="J543" s="22"/>
      <c r="K543" s="75"/>
    </row>
    <row r="544" spans="10:11" ht="13.2" x14ac:dyDescent="0.25">
      <c r="J544" s="22"/>
      <c r="K544" s="75"/>
    </row>
    <row r="545" spans="10:11" ht="13.2" x14ac:dyDescent="0.25">
      <c r="J545" s="22"/>
      <c r="K545" s="75"/>
    </row>
    <row r="546" spans="10:11" ht="13.2" x14ac:dyDescent="0.25">
      <c r="J546" s="22"/>
      <c r="K546" s="75"/>
    </row>
    <row r="547" spans="10:11" ht="13.2" x14ac:dyDescent="0.25">
      <c r="J547" s="22"/>
      <c r="K547" s="75"/>
    </row>
    <row r="548" spans="10:11" ht="13.2" x14ac:dyDescent="0.25">
      <c r="J548" s="22"/>
      <c r="K548" s="75"/>
    </row>
    <row r="549" spans="10:11" ht="13.2" x14ac:dyDescent="0.25">
      <c r="J549" s="22"/>
      <c r="K549" s="75"/>
    </row>
    <row r="550" spans="10:11" ht="13.2" x14ac:dyDescent="0.25">
      <c r="J550" s="22"/>
      <c r="K550" s="75"/>
    </row>
    <row r="551" spans="10:11" ht="13.2" x14ac:dyDescent="0.25">
      <c r="J551" s="22"/>
      <c r="K551" s="75"/>
    </row>
    <row r="552" spans="10:11" ht="13.2" x14ac:dyDescent="0.25">
      <c r="J552" s="22"/>
      <c r="K552" s="75"/>
    </row>
    <row r="553" spans="10:11" ht="13.2" x14ac:dyDescent="0.25">
      <c r="J553" s="22"/>
      <c r="K553" s="75"/>
    </row>
    <row r="554" spans="10:11" ht="13.2" x14ac:dyDescent="0.25">
      <c r="J554" s="22"/>
      <c r="K554" s="75"/>
    </row>
    <row r="555" spans="10:11" ht="13.2" x14ac:dyDescent="0.25">
      <c r="J555" s="22"/>
      <c r="K555" s="75"/>
    </row>
    <row r="556" spans="10:11" ht="13.2" x14ac:dyDescent="0.25">
      <c r="J556" s="22"/>
      <c r="K556" s="75"/>
    </row>
    <row r="557" spans="10:11" ht="13.2" x14ac:dyDescent="0.25">
      <c r="J557" s="22"/>
      <c r="K557" s="75"/>
    </row>
    <row r="558" spans="10:11" ht="13.2" x14ac:dyDescent="0.25">
      <c r="J558" s="22"/>
      <c r="K558" s="75"/>
    </row>
    <row r="559" spans="10:11" ht="13.2" x14ac:dyDescent="0.25">
      <c r="J559" s="22"/>
      <c r="K559" s="75"/>
    </row>
    <row r="560" spans="10:11" ht="13.2" x14ac:dyDescent="0.25">
      <c r="J560" s="22"/>
      <c r="K560" s="75"/>
    </row>
    <row r="561" spans="10:11" ht="13.2" x14ac:dyDescent="0.25">
      <c r="J561" s="22"/>
      <c r="K561" s="75"/>
    </row>
    <row r="562" spans="10:11" ht="13.2" x14ac:dyDescent="0.25">
      <c r="J562" s="22"/>
      <c r="K562" s="75"/>
    </row>
    <row r="563" spans="10:11" ht="13.2" x14ac:dyDescent="0.25">
      <c r="J563" s="22"/>
      <c r="K563" s="75"/>
    </row>
    <row r="564" spans="10:11" ht="13.2" x14ac:dyDescent="0.25">
      <c r="J564" s="22"/>
      <c r="K564" s="75"/>
    </row>
    <row r="565" spans="10:11" ht="13.2" x14ac:dyDescent="0.25">
      <c r="J565" s="22"/>
      <c r="K565" s="75"/>
    </row>
    <row r="566" spans="10:11" ht="13.2" x14ac:dyDescent="0.25">
      <c r="J566" s="22"/>
      <c r="K566" s="75"/>
    </row>
    <row r="567" spans="10:11" ht="13.2" x14ac:dyDescent="0.25">
      <c r="J567" s="22"/>
      <c r="K567" s="75"/>
    </row>
    <row r="568" spans="10:11" ht="13.2" x14ac:dyDescent="0.25">
      <c r="J568" s="22"/>
      <c r="K568" s="75"/>
    </row>
    <row r="569" spans="10:11" ht="13.2" x14ac:dyDescent="0.25">
      <c r="J569" s="22"/>
      <c r="K569" s="75"/>
    </row>
    <row r="570" spans="10:11" ht="13.2" x14ac:dyDescent="0.25">
      <c r="J570" s="22"/>
      <c r="K570" s="75"/>
    </row>
    <row r="571" spans="10:11" ht="13.2" x14ac:dyDescent="0.25">
      <c r="J571" s="22"/>
      <c r="K571" s="75"/>
    </row>
    <row r="572" spans="10:11" ht="13.2" x14ac:dyDescent="0.25">
      <c r="J572" s="22"/>
      <c r="K572" s="75"/>
    </row>
    <row r="573" spans="10:11" ht="13.2" x14ac:dyDescent="0.25">
      <c r="J573" s="22"/>
      <c r="K573" s="75"/>
    </row>
    <row r="574" spans="10:11" ht="13.2" x14ac:dyDescent="0.25">
      <c r="J574" s="22"/>
      <c r="K574" s="75"/>
    </row>
    <row r="575" spans="10:11" ht="13.2" x14ac:dyDescent="0.25">
      <c r="J575" s="22"/>
      <c r="K575" s="75"/>
    </row>
    <row r="576" spans="10:11" ht="13.2" x14ac:dyDescent="0.25">
      <c r="J576" s="22"/>
      <c r="K576" s="75"/>
    </row>
    <row r="577" spans="10:11" ht="13.2" x14ac:dyDescent="0.25">
      <c r="J577" s="22"/>
      <c r="K577" s="75"/>
    </row>
    <row r="578" spans="10:11" ht="13.2" x14ac:dyDescent="0.25">
      <c r="J578" s="22"/>
      <c r="K578" s="75"/>
    </row>
    <row r="579" spans="10:11" ht="13.2" x14ac:dyDescent="0.25">
      <c r="J579" s="22"/>
      <c r="K579" s="75"/>
    </row>
    <row r="580" spans="10:11" ht="13.2" x14ac:dyDescent="0.25">
      <c r="J580" s="22"/>
      <c r="K580" s="75"/>
    </row>
    <row r="581" spans="10:11" ht="13.2" x14ac:dyDescent="0.25">
      <c r="J581" s="22"/>
      <c r="K581" s="75"/>
    </row>
    <row r="582" spans="10:11" ht="13.2" x14ac:dyDescent="0.25">
      <c r="J582" s="22"/>
      <c r="K582" s="75"/>
    </row>
    <row r="583" spans="10:11" ht="13.2" x14ac:dyDescent="0.25">
      <c r="J583" s="22"/>
      <c r="K583" s="75"/>
    </row>
    <row r="584" spans="10:11" ht="13.2" x14ac:dyDescent="0.25">
      <c r="J584" s="22"/>
      <c r="K584" s="75"/>
    </row>
    <row r="585" spans="10:11" ht="13.2" x14ac:dyDescent="0.25">
      <c r="J585" s="22"/>
      <c r="K585" s="75"/>
    </row>
    <row r="586" spans="10:11" ht="13.2" x14ac:dyDescent="0.25">
      <c r="J586" s="22"/>
      <c r="K586" s="75"/>
    </row>
    <row r="587" spans="10:11" ht="13.2" x14ac:dyDescent="0.25">
      <c r="J587" s="22"/>
      <c r="K587" s="75"/>
    </row>
    <row r="588" spans="10:11" ht="13.2" x14ac:dyDescent="0.25">
      <c r="J588" s="22"/>
      <c r="K588" s="75"/>
    </row>
    <row r="589" spans="10:11" ht="13.2" x14ac:dyDescent="0.25">
      <c r="J589" s="22"/>
      <c r="K589" s="75"/>
    </row>
    <row r="590" spans="10:11" ht="13.2" x14ac:dyDescent="0.25">
      <c r="J590" s="22"/>
      <c r="K590" s="75"/>
    </row>
    <row r="591" spans="10:11" ht="13.2" x14ac:dyDescent="0.25">
      <c r="J591" s="22"/>
      <c r="K591" s="75"/>
    </row>
    <row r="592" spans="10:11" ht="13.2" x14ac:dyDescent="0.25">
      <c r="J592" s="22"/>
      <c r="K592" s="75"/>
    </row>
    <row r="593" spans="10:11" ht="13.2" x14ac:dyDescent="0.25">
      <c r="J593" s="22"/>
      <c r="K593" s="75"/>
    </row>
    <row r="594" spans="10:11" ht="13.2" x14ac:dyDescent="0.25">
      <c r="J594" s="22"/>
      <c r="K594" s="75"/>
    </row>
    <row r="595" spans="10:11" ht="13.2" x14ac:dyDescent="0.25">
      <c r="J595" s="22"/>
      <c r="K595" s="75"/>
    </row>
    <row r="596" spans="10:11" ht="13.2" x14ac:dyDescent="0.25">
      <c r="J596" s="22"/>
      <c r="K596" s="75"/>
    </row>
    <row r="597" spans="10:11" ht="13.2" x14ac:dyDescent="0.25">
      <c r="J597" s="22"/>
      <c r="K597" s="75"/>
    </row>
    <row r="598" spans="10:11" ht="13.2" x14ac:dyDescent="0.25">
      <c r="J598" s="22"/>
      <c r="K598" s="75"/>
    </row>
    <row r="599" spans="10:11" ht="13.2" x14ac:dyDescent="0.25">
      <c r="J599" s="22"/>
      <c r="K599" s="75"/>
    </row>
    <row r="600" spans="10:11" ht="13.2" x14ac:dyDescent="0.25">
      <c r="J600" s="22"/>
      <c r="K600" s="75"/>
    </row>
    <row r="601" spans="10:11" ht="13.2" x14ac:dyDescent="0.25">
      <c r="J601" s="22"/>
      <c r="K601" s="75"/>
    </row>
    <row r="602" spans="10:11" ht="13.2" x14ac:dyDescent="0.25">
      <c r="J602" s="22"/>
      <c r="K602" s="75"/>
    </row>
    <row r="603" spans="10:11" ht="13.2" x14ac:dyDescent="0.25">
      <c r="J603" s="22"/>
      <c r="K603" s="75"/>
    </row>
    <row r="604" spans="10:11" ht="13.2" x14ac:dyDescent="0.25">
      <c r="J604" s="22"/>
      <c r="K604" s="75"/>
    </row>
    <row r="605" spans="10:11" ht="13.2" x14ac:dyDescent="0.25">
      <c r="J605" s="22"/>
      <c r="K605" s="75"/>
    </row>
    <row r="606" spans="10:11" ht="13.2" x14ac:dyDescent="0.25">
      <c r="J606" s="22"/>
      <c r="K606" s="75"/>
    </row>
    <row r="607" spans="10:11" ht="13.2" x14ac:dyDescent="0.25">
      <c r="J607" s="22"/>
      <c r="K607" s="75"/>
    </row>
    <row r="608" spans="10:11" ht="13.2" x14ac:dyDescent="0.25">
      <c r="J608" s="22"/>
      <c r="K608" s="75"/>
    </row>
    <row r="609" spans="10:11" ht="13.2" x14ac:dyDescent="0.25">
      <c r="J609" s="22"/>
      <c r="K609" s="75"/>
    </row>
    <row r="610" spans="10:11" ht="13.2" x14ac:dyDescent="0.25">
      <c r="J610" s="22"/>
      <c r="K610" s="75"/>
    </row>
    <row r="611" spans="10:11" ht="13.2" x14ac:dyDescent="0.25">
      <c r="J611" s="22"/>
      <c r="K611" s="75"/>
    </row>
    <row r="612" spans="10:11" ht="13.2" x14ac:dyDescent="0.25">
      <c r="J612" s="22"/>
      <c r="K612" s="75"/>
    </row>
    <row r="613" spans="10:11" ht="13.2" x14ac:dyDescent="0.25">
      <c r="J613" s="22"/>
      <c r="K613" s="75"/>
    </row>
    <row r="614" spans="10:11" ht="13.2" x14ac:dyDescent="0.25">
      <c r="J614" s="22"/>
      <c r="K614" s="75"/>
    </row>
    <row r="615" spans="10:11" ht="13.2" x14ac:dyDescent="0.25">
      <c r="J615" s="22"/>
      <c r="K615" s="75"/>
    </row>
    <row r="616" spans="10:11" ht="13.2" x14ac:dyDescent="0.25">
      <c r="J616" s="22"/>
      <c r="K616" s="75"/>
    </row>
    <row r="617" spans="10:11" ht="13.2" x14ac:dyDescent="0.25">
      <c r="J617" s="22"/>
      <c r="K617" s="75"/>
    </row>
    <row r="618" spans="10:11" ht="13.2" x14ac:dyDescent="0.25">
      <c r="J618" s="22"/>
      <c r="K618" s="75"/>
    </row>
    <row r="619" spans="10:11" ht="13.2" x14ac:dyDescent="0.25">
      <c r="J619" s="22"/>
      <c r="K619" s="75"/>
    </row>
    <row r="620" spans="10:11" ht="13.2" x14ac:dyDescent="0.25">
      <c r="J620" s="22"/>
      <c r="K620" s="75"/>
    </row>
    <row r="621" spans="10:11" ht="13.2" x14ac:dyDescent="0.25">
      <c r="J621" s="22"/>
      <c r="K621" s="75"/>
    </row>
    <row r="622" spans="10:11" ht="13.2" x14ac:dyDescent="0.25">
      <c r="J622" s="22"/>
      <c r="K622" s="75"/>
    </row>
    <row r="623" spans="10:11" ht="13.2" x14ac:dyDescent="0.25">
      <c r="J623" s="22"/>
      <c r="K623" s="75"/>
    </row>
    <row r="624" spans="10:11" ht="13.2" x14ac:dyDescent="0.25">
      <c r="J624" s="22"/>
      <c r="K624" s="75"/>
    </row>
    <row r="625" spans="10:11" ht="13.2" x14ac:dyDescent="0.25">
      <c r="J625" s="22"/>
      <c r="K625" s="75"/>
    </row>
    <row r="626" spans="10:11" ht="13.2" x14ac:dyDescent="0.25">
      <c r="J626" s="22"/>
      <c r="K626" s="75"/>
    </row>
    <row r="627" spans="10:11" ht="13.2" x14ac:dyDescent="0.25">
      <c r="J627" s="22"/>
      <c r="K627" s="75"/>
    </row>
    <row r="628" spans="10:11" ht="13.2" x14ac:dyDescent="0.25">
      <c r="J628" s="22"/>
      <c r="K628" s="75"/>
    </row>
    <row r="629" spans="10:11" ht="13.2" x14ac:dyDescent="0.25">
      <c r="J629" s="22"/>
      <c r="K629" s="75"/>
    </row>
    <row r="630" spans="10:11" ht="13.2" x14ac:dyDescent="0.25">
      <c r="J630" s="22"/>
      <c r="K630" s="75"/>
    </row>
    <row r="631" spans="10:11" ht="13.2" x14ac:dyDescent="0.25">
      <c r="J631" s="22"/>
      <c r="K631" s="75"/>
    </row>
    <row r="632" spans="10:11" ht="13.2" x14ac:dyDescent="0.25">
      <c r="J632" s="22"/>
      <c r="K632" s="75"/>
    </row>
    <row r="633" spans="10:11" ht="13.2" x14ac:dyDescent="0.25">
      <c r="J633" s="22"/>
      <c r="K633" s="75"/>
    </row>
    <row r="634" spans="10:11" ht="13.2" x14ac:dyDescent="0.25">
      <c r="J634" s="22"/>
      <c r="K634" s="75"/>
    </row>
    <row r="635" spans="10:11" ht="13.2" x14ac:dyDescent="0.25">
      <c r="J635" s="22"/>
      <c r="K635" s="75"/>
    </row>
    <row r="636" spans="10:11" ht="13.2" x14ac:dyDescent="0.25">
      <c r="J636" s="22"/>
      <c r="K636" s="75"/>
    </row>
    <row r="637" spans="10:11" ht="13.2" x14ac:dyDescent="0.25">
      <c r="J637" s="22"/>
      <c r="K637" s="75"/>
    </row>
    <row r="638" spans="10:11" ht="13.2" x14ac:dyDescent="0.25">
      <c r="J638" s="22"/>
      <c r="K638" s="75"/>
    </row>
    <row r="639" spans="10:11" ht="13.2" x14ac:dyDescent="0.25">
      <c r="J639" s="22"/>
      <c r="K639" s="75"/>
    </row>
    <row r="640" spans="10:11" ht="13.2" x14ac:dyDescent="0.25">
      <c r="J640" s="22"/>
      <c r="K640" s="75"/>
    </row>
    <row r="641" spans="10:11" ht="13.2" x14ac:dyDescent="0.25">
      <c r="J641" s="22"/>
      <c r="K641" s="75"/>
    </row>
    <row r="642" spans="10:11" ht="13.2" x14ac:dyDescent="0.25">
      <c r="J642" s="22"/>
      <c r="K642" s="75"/>
    </row>
    <row r="643" spans="10:11" ht="13.2" x14ac:dyDescent="0.25">
      <c r="J643" s="22"/>
      <c r="K643" s="75"/>
    </row>
    <row r="644" spans="10:11" ht="13.2" x14ac:dyDescent="0.25">
      <c r="J644" s="22"/>
      <c r="K644" s="75"/>
    </row>
    <row r="645" spans="10:11" ht="13.2" x14ac:dyDescent="0.25">
      <c r="J645" s="22"/>
      <c r="K645" s="75"/>
    </row>
    <row r="646" spans="10:11" ht="13.2" x14ac:dyDescent="0.25">
      <c r="J646" s="22"/>
      <c r="K646" s="75"/>
    </row>
    <row r="647" spans="10:11" ht="13.2" x14ac:dyDescent="0.25">
      <c r="J647" s="22"/>
      <c r="K647" s="75"/>
    </row>
    <row r="648" spans="10:11" ht="13.2" x14ac:dyDescent="0.25">
      <c r="J648" s="22"/>
      <c r="K648" s="75"/>
    </row>
    <row r="649" spans="10:11" ht="13.2" x14ac:dyDescent="0.25">
      <c r="J649" s="22"/>
      <c r="K649" s="75"/>
    </row>
    <row r="650" spans="10:11" ht="13.2" x14ac:dyDescent="0.25">
      <c r="J650" s="22"/>
      <c r="K650" s="75"/>
    </row>
    <row r="651" spans="10:11" ht="13.2" x14ac:dyDescent="0.25">
      <c r="J651" s="22"/>
      <c r="K651" s="75"/>
    </row>
    <row r="652" spans="10:11" ht="13.2" x14ac:dyDescent="0.25">
      <c r="J652" s="22"/>
      <c r="K652" s="75"/>
    </row>
    <row r="653" spans="10:11" ht="13.2" x14ac:dyDescent="0.25">
      <c r="J653" s="22"/>
      <c r="K653" s="75"/>
    </row>
    <row r="654" spans="10:11" ht="13.2" x14ac:dyDescent="0.25">
      <c r="J654" s="22"/>
      <c r="K654" s="75"/>
    </row>
    <row r="655" spans="10:11" ht="13.2" x14ac:dyDescent="0.25">
      <c r="J655" s="22"/>
      <c r="K655" s="75"/>
    </row>
    <row r="656" spans="10:11" ht="13.2" x14ac:dyDescent="0.25">
      <c r="J656" s="22"/>
      <c r="K656" s="75"/>
    </row>
    <row r="657" spans="10:11" ht="13.2" x14ac:dyDescent="0.25">
      <c r="J657" s="22"/>
      <c r="K657" s="75"/>
    </row>
    <row r="658" spans="10:11" ht="13.2" x14ac:dyDescent="0.25">
      <c r="J658" s="22"/>
      <c r="K658" s="75"/>
    </row>
    <row r="659" spans="10:11" ht="13.2" x14ac:dyDescent="0.25">
      <c r="J659" s="22"/>
      <c r="K659" s="75"/>
    </row>
    <row r="660" spans="10:11" ht="13.2" x14ac:dyDescent="0.25">
      <c r="J660" s="22"/>
      <c r="K660" s="75"/>
    </row>
    <row r="661" spans="10:11" ht="13.2" x14ac:dyDescent="0.25">
      <c r="J661" s="22"/>
      <c r="K661" s="75"/>
    </row>
    <row r="662" spans="10:11" ht="13.2" x14ac:dyDescent="0.25">
      <c r="J662" s="22"/>
      <c r="K662" s="75"/>
    </row>
    <row r="663" spans="10:11" ht="13.2" x14ac:dyDescent="0.25">
      <c r="J663" s="22"/>
      <c r="K663" s="75"/>
    </row>
    <row r="664" spans="10:11" ht="13.2" x14ac:dyDescent="0.25">
      <c r="J664" s="22"/>
      <c r="K664" s="75"/>
    </row>
    <row r="665" spans="10:11" ht="13.2" x14ac:dyDescent="0.25">
      <c r="J665" s="22"/>
      <c r="K665" s="75"/>
    </row>
    <row r="666" spans="10:11" ht="13.2" x14ac:dyDescent="0.25">
      <c r="J666" s="22"/>
      <c r="K666" s="75"/>
    </row>
    <row r="667" spans="10:11" ht="13.2" x14ac:dyDescent="0.25">
      <c r="J667" s="22"/>
      <c r="K667" s="75"/>
    </row>
    <row r="668" spans="10:11" ht="13.2" x14ac:dyDescent="0.25">
      <c r="J668" s="22"/>
      <c r="K668" s="75"/>
    </row>
    <row r="669" spans="10:11" ht="13.2" x14ac:dyDescent="0.25">
      <c r="J669" s="22"/>
      <c r="K669" s="75"/>
    </row>
    <row r="670" spans="10:11" ht="13.2" x14ac:dyDescent="0.25">
      <c r="J670" s="22"/>
      <c r="K670" s="75"/>
    </row>
    <row r="671" spans="10:11" ht="13.2" x14ac:dyDescent="0.25">
      <c r="J671" s="22"/>
      <c r="K671" s="75"/>
    </row>
    <row r="672" spans="10:11" ht="13.2" x14ac:dyDescent="0.25">
      <c r="J672" s="22"/>
      <c r="K672" s="75"/>
    </row>
    <row r="673" spans="10:11" ht="13.2" x14ac:dyDescent="0.25">
      <c r="J673" s="22"/>
      <c r="K673" s="75"/>
    </row>
    <row r="674" spans="10:11" ht="13.2" x14ac:dyDescent="0.25">
      <c r="J674" s="22"/>
      <c r="K674" s="75"/>
    </row>
    <row r="675" spans="10:11" ht="13.2" x14ac:dyDescent="0.25">
      <c r="J675" s="22"/>
      <c r="K675" s="75"/>
    </row>
    <row r="676" spans="10:11" ht="13.2" x14ac:dyDescent="0.25">
      <c r="J676" s="22"/>
      <c r="K676" s="75"/>
    </row>
    <row r="677" spans="10:11" ht="13.2" x14ac:dyDescent="0.25">
      <c r="J677" s="22"/>
      <c r="K677" s="75"/>
    </row>
    <row r="678" spans="10:11" ht="13.2" x14ac:dyDescent="0.25">
      <c r="J678" s="22"/>
      <c r="K678" s="75"/>
    </row>
    <row r="679" spans="10:11" ht="13.2" x14ac:dyDescent="0.25">
      <c r="J679" s="22"/>
      <c r="K679" s="75"/>
    </row>
    <row r="680" spans="10:11" ht="13.2" x14ac:dyDescent="0.25">
      <c r="J680" s="22"/>
      <c r="K680" s="75"/>
    </row>
    <row r="681" spans="10:11" ht="13.2" x14ac:dyDescent="0.25">
      <c r="J681" s="22"/>
      <c r="K681" s="75"/>
    </row>
    <row r="682" spans="10:11" ht="13.2" x14ac:dyDescent="0.25">
      <c r="J682" s="22"/>
      <c r="K682" s="75"/>
    </row>
    <row r="683" spans="10:11" ht="13.2" x14ac:dyDescent="0.25">
      <c r="J683" s="22"/>
      <c r="K683" s="75"/>
    </row>
    <row r="684" spans="10:11" ht="13.2" x14ac:dyDescent="0.25">
      <c r="J684" s="22"/>
      <c r="K684" s="75"/>
    </row>
    <row r="685" spans="10:11" ht="13.2" x14ac:dyDescent="0.25">
      <c r="J685" s="22"/>
      <c r="K685" s="75"/>
    </row>
    <row r="686" spans="10:11" ht="13.2" x14ac:dyDescent="0.25">
      <c r="J686" s="22"/>
      <c r="K686" s="75"/>
    </row>
    <row r="687" spans="10:11" ht="13.2" x14ac:dyDescent="0.25">
      <c r="J687" s="22"/>
      <c r="K687" s="75"/>
    </row>
    <row r="688" spans="10:11" ht="13.2" x14ac:dyDescent="0.25">
      <c r="J688" s="22"/>
      <c r="K688" s="75"/>
    </row>
    <row r="689" spans="10:11" ht="13.2" x14ac:dyDescent="0.25">
      <c r="J689" s="22"/>
      <c r="K689" s="75"/>
    </row>
    <row r="690" spans="10:11" ht="13.2" x14ac:dyDescent="0.25">
      <c r="J690" s="22"/>
      <c r="K690" s="75"/>
    </row>
    <row r="691" spans="10:11" ht="13.2" x14ac:dyDescent="0.25">
      <c r="J691" s="22"/>
      <c r="K691" s="75"/>
    </row>
    <row r="692" spans="10:11" ht="13.2" x14ac:dyDescent="0.25">
      <c r="J692" s="22"/>
      <c r="K692" s="75"/>
    </row>
    <row r="693" spans="10:11" ht="13.2" x14ac:dyDescent="0.25">
      <c r="J693" s="22"/>
      <c r="K693" s="75"/>
    </row>
    <row r="694" spans="10:11" ht="13.2" x14ac:dyDescent="0.25">
      <c r="J694" s="22"/>
      <c r="K694" s="75"/>
    </row>
    <row r="695" spans="10:11" ht="13.2" x14ac:dyDescent="0.25">
      <c r="J695" s="22"/>
      <c r="K695" s="75"/>
    </row>
    <row r="696" spans="10:11" ht="13.2" x14ac:dyDescent="0.25">
      <c r="J696" s="22"/>
      <c r="K696" s="75"/>
    </row>
    <row r="697" spans="10:11" ht="13.2" x14ac:dyDescent="0.25">
      <c r="J697" s="22"/>
      <c r="K697" s="75"/>
    </row>
    <row r="698" spans="10:11" ht="13.2" x14ac:dyDescent="0.25">
      <c r="J698" s="22"/>
      <c r="K698" s="75"/>
    </row>
    <row r="699" spans="10:11" ht="13.2" x14ac:dyDescent="0.25">
      <c r="J699" s="22"/>
      <c r="K699" s="75"/>
    </row>
    <row r="700" spans="10:11" ht="13.2" x14ac:dyDescent="0.25">
      <c r="J700" s="22"/>
      <c r="K700" s="75"/>
    </row>
    <row r="701" spans="10:11" ht="13.2" x14ac:dyDescent="0.25">
      <c r="J701" s="22"/>
      <c r="K701" s="75"/>
    </row>
    <row r="702" spans="10:11" ht="13.2" x14ac:dyDescent="0.25">
      <c r="J702" s="22"/>
      <c r="K702" s="75"/>
    </row>
    <row r="703" spans="10:11" ht="13.2" x14ac:dyDescent="0.25">
      <c r="J703" s="22"/>
      <c r="K703" s="75"/>
    </row>
    <row r="704" spans="10:11" ht="13.2" x14ac:dyDescent="0.25">
      <c r="J704" s="22"/>
      <c r="K704" s="75"/>
    </row>
    <row r="705" spans="10:11" ht="13.2" x14ac:dyDescent="0.25">
      <c r="J705" s="22"/>
      <c r="K705" s="75"/>
    </row>
    <row r="706" spans="10:11" ht="13.2" x14ac:dyDescent="0.25">
      <c r="J706" s="22"/>
      <c r="K706" s="75"/>
    </row>
    <row r="707" spans="10:11" ht="13.2" x14ac:dyDescent="0.25">
      <c r="J707" s="22"/>
      <c r="K707" s="75"/>
    </row>
    <row r="708" spans="10:11" ht="13.2" x14ac:dyDescent="0.25">
      <c r="J708" s="22"/>
      <c r="K708" s="75"/>
    </row>
    <row r="709" spans="10:11" ht="13.2" x14ac:dyDescent="0.25">
      <c r="J709" s="22"/>
      <c r="K709" s="75"/>
    </row>
    <row r="710" spans="10:11" ht="13.2" x14ac:dyDescent="0.25">
      <c r="J710" s="22"/>
      <c r="K710" s="75"/>
    </row>
    <row r="711" spans="10:11" ht="13.2" x14ac:dyDescent="0.25">
      <c r="J711" s="22"/>
      <c r="K711" s="75"/>
    </row>
    <row r="712" spans="10:11" ht="13.2" x14ac:dyDescent="0.25">
      <c r="J712" s="22"/>
      <c r="K712" s="75"/>
    </row>
    <row r="713" spans="10:11" ht="13.2" x14ac:dyDescent="0.25">
      <c r="J713" s="22"/>
      <c r="K713" s="75"/>
    </row>
    <row r="714" spans="10:11" ht="13.2" x14ac:dyDescent="0.25">
      <c r="J714" s="22"/>
      <c r="K714" s="75"/>
    </row>
    <row r="715" spans="10:11" ht="13.2" x14ac:dyDescent="0.25">
      <c r="J715" s="22"/>
      <c r="K715" s="75"/>
    </row>
    <row r="716" spans="10:11" ht="13.2" x14ac:dyDescent="0.25">
      <c r="J716" s="22"/>
      <c r="K716" s="75"/>
    </row>
    <row r="717" spans="10:11" ht="13.2" x14ac:dyDescent="0.25">
      <c r="J717" s="22"/>
      <c r="K717" s="75"/>
    </row>
    <row r="718" spans="10:11" ht="13.2" x14ac:dyDescent="0.25">
      <c r="J718" s="22"/>
      <c r="K718" s="75"/>
    </row>
    <row r="719" spans="10:11" ht="13.2" x14ac:dyDescent="0.25">
      <c r="J719" s="22"/>
      <c r="K719" s="75"/>
    </row>
    <row r="720" spans="10:11" ht="13.2" x14ac:dyDescent="0.25">
      <c r="J720" s="22"/>
      <c r="K720" s="75"/>
    </row>
    <row r="721" spans="10:11" ht="13.2" x14ac:dyDescent="0.25">
      <c r="J721" s="22"/>
      <c r="K721" s="75"/>
    </row>
    <row r="722" spans="10:11" ht="13.2" x14ac:dyDescent="0.25">
      <c r="J722" s="22"/>
      <c r="K722" s="75"/>
    </row>
    <row r="723" spans="10:11" ht="13.2" x14ac:dyDescent="0.25">
      <c r="J723" s="22"/>
      <c r="K723" s="75"/>
    </row>
    <row r="724" spans="10:11" ht="13.2" x14ac:dyDescent="0.25">
      <c r="J724" s="22"/>
      <c r="K724" s="75"/>
    </row>
    <row r="725" spans="10:11" ht="13.2" x14ac:dyDescent="0.25">
      <c r="J725" s="22"/>
      <c r="K725" s="75"/>
    </row>
    <row r="726" spans="10:11" ht="13.2" x14ac:dyDescent="0.25">
      <c r="J726" s="22"/>
      <c r="K726" s="75"/>
    </row>
    <row r="727" spans="10:11" ht="13.2" x14ac:dyDescent="0.25">
      <c r="J727" s="22"/>
      <c r="K727" s="75"/>
    </row>
    <row r="728" spans="10:11" ht="13.2" x14ac:dyDescent="0.25">
      <c r="J728" s="22"/>
      <c r="K728" s="75"/>
    </row>
    <row r="729" spans="10:11" ht="13.2" x14ac:dyDescent="0.25">
      <c r="J729" s="22"/>
      <c r="K729" s="75"/>
    </row>
    <row r="730" spans="10:11" ht="13.2" x14ac:dyDescent="0.25">
      <c r="J730" s="22"/>
      <c r="K730" s="75"/>
    </row>
    <row r="731" spans="10:11" ht="13.2" x14ac:dyDescent="0.25">
      <c r="J731" s="22"/>
      <c r="K731" s="75"/>
    </row>
    <row r="732" spans="10:11" ht="13.2" x14ac:dyDescent="0.25">
      <c r="J732" s="22"/>
      <c r="K732" s="75"/>
    </row>
    <row r="733" spans="10:11" ht="13.2" x14ac:dyDescent="0.25">
      <c r="J733" s="22"/>
      <c r="K733" s="75"/>
    </row>
    <row r="734" spans="10:11" ht="13.2" x14ac:dyDescent="0.25">
      <c r="J734" s="22"/>
      <c r="K734" s="75"/>
    </row>
    <row r="735" spans="10:11" ht="13.2" x14ac:dyDescent="0.25">
      <c r="J735" s="22"/>
      <c r="K735" s="75"/>
    </row>
    <row r="736" spans="10:11" ht="13.2" x14ac:dyDescent="0.25">
      <c r="J736" s="22"/>
      <c r="K736" s="75"/>
    </row>
    <row r="737" spans="10:11" ht="13.2" x14ac:dyDescent="0.25">
      <c r="J737" s="22"/>
      <c r="K737" s="75"/>
    </row>
    <row r="738" spans="10:11" ht="13.2" x14ac:dyDescent="0.25">
      <c r="J738" s="22"/>
      <c r="K738" s="75"/>
    </row>
    <row r="739" spans="10:11" ht="13.2" x14ac:dyDescent="0.25">
      <c r="J739" s="22"/>
      <c r="K739" s="75"/>
    </row>
    <row r="740" spans="10:11" ht="13.2" x14ac:dyDescent="0.25">
      <c r="J740" s="22"/>
      <c r="K740" s="75"/>
    </row>
    <row r="741" spans="10:11" ht="13.2" x14ac:dyDescent="0.25">
      <c r="J741" s="22"/>
      <c r="K741" s="75"/>
    </row>
    <row r="742" spans="10:11" ht="13.2" x14ac:dyDescent="0.25">
      <c r="J742" s="22"/>
      <c r="K742" s="75"/>
    </row>
    <row r="743" spans="10:11" ht="13.2" x14ac:dyDescent="0.25">
      <c r="J743" s="22"/>
      <c r="K743" s="75"/>
    </row>
    <row r="744" spans="10:11" ht="13.2" x14ac:dyDescent="0.25">
      <c r="J744" s="22"/>
      <c r="K744" s="75"/>
    </row>
    <row r="745" spans="10:11" ht="13.2" x14ac:dyDescent="0.25">
      <c r="J745" s="22"/>
      <c r="K745" s="75"/>
    </row>
    <row r="746" spans="10:11" ht="13.2" x14ac:dyDescent="0.25">
      <c r="J746" s="22"/>
      <c r="K746" s="75"/>
    </row>
    <row r="747" spans="10:11" ht="13.2" x14ac:dyDescent="0.25">
      <c r="J747" s="22"/>
      <c r="K747" s="75"/>
    </row>
    <row r="748" spans="10:11" ht="13.2" x14ac:dyDescent="0.25">
      <c r="J748" s="22"/>
      <c r="K748" s="75"/>
    </row>
    <row r="749" spans="10:11" ht="13.2" x14ac:dyDescent="0.25">
      <c r="J749" s="22"/>
      <c r="K749" s="75"/>
    </row>
    <row r="750" spans="10:11" ht="13.2" x14ac:dyDescent="0.25">
      <c r="J750" s="22"/>
      <c r="K750" s="75"/>
    </row>
    <row r="751" spans="10:11" ht="13.2" x14ac:dyDescent="0.25">
      <c r="J751" s="22"/>
      <c r="K751" s="75"/>
    </row>
    <row r="752" spans="10:11" ht="13.2" x14ac:dyDescent="0.25">
      <c r="J752" s="22"/>
      <c r="K752" s="75"/>
    </row>
    <row r="753" spans="10:11" ht="13.2" x14ac:dyDescent="0.25">
      <c r="J753" s="22"/>
      <c r="K753" s="75"/>
    </row>
    <row r="754" spans="10:11" ht="13.2" x14ac:dyDescent="0.25">
      <c r="J754" s="22"/>
      <c r="K754" s="75"/>
    </row>
    <row r="755" spans="10:11" ht="13.2" x14ac:dyDescent="0.25">
      <c r="J755" s="22"/>
      <c r="K755" s="75"/>
    </row>
    <row r="756" spans="10:11" ht="13.2" x14ac:dyDescent="0.25">
      <c r="J756" s="22"/>
      <c r="K756" s="75"/>
    </row>
    <row r="757" spans="10:11" ht="13.2" x14ac:dyDescent="0.25">
      <c r="J757" s="22"/>
      <c r="K757" s="75"/>
    </row>
    <row r="758" spans="10:11" ht="13.2" x14ac:dyDescent="0.25">
      <c r="J758" s="22"/>
      <c r="K758" s="75"/>
    </row>
    <row r="759" spans="10:11" ht="13.2" x14ac:dyDescent="0.25">
      <c r="J759" s="22"/>
      <c r="K759" s="75"/>
    </row>
    <row r="760" spans="10:11" ht="13.2" x14ac:dyDescent="0.25">
      <c r="J760" s="22"/>
      <c r="K760" s="75"/>
    </row>
    <row r="761" spans="10:11" ht="13.2" x14ac:dyDescent="0.25">
      <c r="J761" s="22"/>
      <c r="K761" s="75"/>
    </row>
    <row r="762" spans="10:11" ht="13.2" x14ac:dyDescent="0.25">
      <c r="J762" s="22"/>
      <c r="K762" s="75"/>
    </row>
    <row r="763" spans="10:11" ht="13.2" x14ac:dyDescent="0.25">
      <c r="J763" s="22"/>
      <c r="K763" s="75"/>
    </row>
    <row r="764" spans="10:11" ht="13.2" x14ac:dyDescent="0.25">
      <c r="J764" s="22"/>
      <c r="K764" s="75"/>
    </row>
    <row r="765" spans="10:11" ht="13.2" x14ac:dyDescent="0.25">
      <c r="J765" s="22"/>
      <c r="K765" s="75"/>
    </row>
    <row r="766" spans="10:11" ht="13.2" x14ac:dyDescent="0.25">
      <c r="J766" s="22"/>
      <c r="K766" s="75"/>
    </row>
    <row r="767" spans="10:11" ht="13.2" x14ac:dyDescent="0.25">
      <c r="J767" s="22"/>
      <c r="K767" s="75"/>
    </row>
    <row r="768" spans="10:11" ht="13.2" x14ac:dyDescent="0.25">
      <c r="J768" s="22"/>
      <c r="K768" s="75"/>
    </row>
    <row r="769" spans="10:11" ht="13.2" x14ac:dyDescent="0.25">
      <c r="J769" s="22"/>
      <c r="K769" s="75"/>
    </row>
    <row r="770" spans="10:11" ht="13.2" x14ac:dyDescent="0.25">
      <c r="J770" s="22"/>
      <c r="K770" s="75"/>
    </row>
    <row r="771" spans="10:11" ht="13.2" x14ac:dyDescent="0.25">
      <c r="J771" s="22"/>
      <c r="K771" s="75"/>
    </row>
    <row r="772" spans="10:11" ht="13.2" x14ac:dyDescent="0.25">
      <c r="J772" s="22"/>
      <c r="K772" s="75"/>
    </row>
    <row r="773" spans="10:11" ht="13.2" x14ac:dyDescent="0.25">
      <c r="J773" s="22"/>
      <c r="K773" s="75"/>
    </row>
    <row r="774" spans="10:11" ht="13.2" x14ac:dyDescent="0.25">
      <c r="J774" s="22"/>
      <c r="K774" s="75"/>
    </row>
    <row r="775" spans="10:11" ht="13.2" x14ac:dyDescent="0.25">
      <c r="J775" s="22"/>
      <c r="K775" s="75"/>
    </row>
    <row r="776" spans="10:11" ht="13.2" x14ac:dyDescent="0.25">
      <c r="J776" s="22"/>
      <c r="K776" s="75"/>
    </row>
    <row r="777" spans="10:11" ht="13.2" x14ac:dyDescent="0.25">
      <c r="J777" s="22"/>
      <c r="K777" s="75"/>
    </row>
    <row r="778" spans="10:11" ht="13.2" x14ac:dyDescent="0.25">
      <c r="J778" s="22"/>
      <c r="K778" s="75"/>
    </row>
    <row r="779" spans="10:11" ht="13.2" x14ac:dyDescent="0.25">
      <c r="J779" s="22"/>
      <c r="K779" s="75"/>
    </row>
    <row r="780" spans="10:11" ht="13.2" x14ac:dyDescent="0.25">
      <c r="J780" s="22"/>
      <c r="K780" s="75"/>
    </row>
    <row r="781" spans="10:11" ht="13.2" x14ac:dyDescent="0.25">
      <c r="J781" s="22"/>
      <c r="K781" s="75"/>
    </row>
    <row r="782" spans="10:11" ht="13.2" x14ac:dyDescent="0.25">
      <c r="J782" s="22"/>
      <c r="K782" s="75"/>
    </row>
    <row r="783" spans="10:11" ht="13.2" x14ac:dyDescent="0.25">
      <c r="J783" s="22"/>
      <c r="K783" s="75"/>
    </row>
    <row r="784" spans="10:11" ht="13.2" x14ac:dyDescent="0.25">
      <c r="J784" s="22"/>
      <c r="K784" s="75"/>
    </row>
    <row r="785" spans="10:11" ht="13.2" x14ac:dyDescent="0.25">
      <c r="J785" s="22"/>
      <c r="K785" s="75"/>
    </row>
    <row r="786" spans="10:11" ht="13.2" x14ac:dyDescent="0.25">
      <c r="J786" s="22"/>
      <c r="K786" s="75"/>
    </row>
    <row r="787" spans="10:11" ht="13.2" x14ac:dyDescent="0.25">
      <c r="J787" s="22"/>
      <c r="K787" s="75"/>
    </row>
    <row r="788" spans="10:11" ht="13.2" x14ac:dyDescent="0.25">
      <c r="J788" s="22"/>
      <c r="K788" s="75"/>
    </row>
    <row r="789" spans="10:11" ht="13.2" x14ac:dyDescent="0.25">
      <c r="J789" s="22"/>
      <c r="K789" s="75"/>
    </row>
    <row r="790" spans="10:11" ht="13.2" x14ac:dyDescent="0.25">
      <c r="J790" s="22"/>
      <c r="K790" s="75"/>
    </row>
    <row r="791" spans="10:11" ht="13.2" x14ac:dyDescent="0.25">
      <c r="J791" s="22"/>
      <c r="K791" s="75"/>
    </row>
    <row r="792" spans="10:11" ht="13.2" x14ac:dyDescent="0.25">
      <c r="J792" s="22"/>
      <c r="K792" s="75"/>
    </row>
    <row r="793" spans="10:11" ht="13.2" x14ac:dyDescent="0.25">
      <c r="J793" s="22"/>
      <c r="K793" s="75"/>
    </row>
    <row r="794" spans="10:11" ht="13.2" x14ac:dyDescent="0.25">
      <c r="J794" s="22"/>
      <c r="K794" s="75"/>
    </row>
    <row r="795" spans="10:11" ht="13.2" x14ac:dyDescent="0.25">
      <c r="J795" s="22"/>
      <c r="K795" s="75"/>
    </row>
    <row r="796" spans="10:11" ht="13.2" x14ac:dyDescent="0.25">
      <c r="J796" s="22"/>
      <c r="K796" s="75"/>
    </row>
    <row r="797" spans="10:11" ht="13.2" x14ac:dyDescent="0.25">
      <c r="J797" s="22"/>
      <c r="K797" s="75"/>
    </row>
    <row r="798" spans="10:11" ht="13.2" x14ac:dyDescent="0.25">
      <c r="J798" s="22"/>
      <c r="K798" s="75"/>
    </row>
    <row r="799" spans="10:11" ht="13.2" x14ac:dyDescent="0.25">
      <c r="J799" s="22"/>
      <c r="K799" s="75"/>
    </row>
    <row r="800" spans="10:11" ht="13.2" x14ac:dyDescent="0.25">
      <c r="J800" s="22"/>
      <c r="K800" s="75"/>
    </row>
    <row r="801" spans="10:11" ht="13.2" x14ac:dyDescent="0.25">
      <c r="J801" s="22"/>
      <c r="K801" s="75"/>
    </row>
    <row r="802" spans="10:11" ht="13.2" x14ac:dyDescent="0.25">
      <c r="J802" s="22"/>
      <c r="K802" s="75"/>
    </row>
    <row r="803" spans="10:11" ht="13.2" x14ac:dyDescent="0.25">
      <c r="J803" s="22"/>
      <c r="K803" s="75"/>
    </row>
    <row r="804" spans="10:11" ht="13.2" x14ac:dyDescent="0.25">
      <c r="J804" s="22"/>
      <c r="K804" s="75"/>
    </row>
    <row r="805" spans="10:11" ht="13.2" x14ac:dyDescent="0.25">
      <c r="J805" s="22"/>
      <c r="K805" s="75"/>
    </row>
    <row r="806" spans="10:11" ht="13.2" x14ac:dyDescent="0.25">
      <c r="J806" s="22"/>
      <c r="K806" s="75"/>
    </row>
    <row r="807" spans="10:11" ht="13.2" x14ac:dyDescent="0.25">
      <c r="J807" s="22"/>
      <c r="K807" s="75"/>
    </row>
    <row r="808" spans="10:11" ht="13.2" x14ac:dyDescent="0.25">
      <c r="J808" s="22"/>
      <c r="K808" s="75"/>
    </row>
    <row r="809" spans="10:11" ht="13.2" x14ac:dyDescent="0.25">
      <c r="J809" s="22"/>
      <c r="K809" s="75"/>
    </row>
    <row r="810" spans="10:11" ht="13.2" x14ac:dyDescent="0.25">
      <c r="J810" s="22"/>
      <c r="K810" s="75"/>
    </row>
    <row r="811" spans="10:11" ht="13.2" x14ac:dyDescent="0.25">
      <c r="J811" s="22"/>
      <c r="K811" s="75"/>
    </row>
    <row r="812" spans="10:11" ht="13.2" x14ac:dyDescent="0.25">
      <c r="J812" s="22"/>
      <c r="K812" s="75"/>
    </row>
    <row r="813" spans="10:11" ht="13.2" x14ac:dyDescent="0.25">
      <c r="J813" s="22"/>
      <c r="K813" s="75"/>
    </row>
    <row r="814" spans="10:11" ht="13.2" x14ac:dyDescent="0.25">
      <c r="J814" s="22"/>
      <c r="K814" s="75"/>
    </row>
    <row r="815" spans="10:11" ht="13.2" x14ac:dyDescent="0.25">
      <c r="J815" s="22"/>
      <c r="K815" s="75"/>
    </row>
    <row r="816" spans="10:11" ht="13.2" x14ac:dyDescent="0.25">
      <c r="J816" s="22"/>
      <c r="K816" s="75"/>
    </row>
    <row r="817" spans="10:11" ht="13.2" x14ac:dyDescent="0.25">
      <c r="J817" s="22"/>
      <c r="K817" s="75"/>
    </row>
    <row r="818" spans="10:11" ht="13.2" x14ac:dyDescent="0.25">
      <c r="J818" s="22"/>
      <c r="K818" s="75"/>
    </row>
    <row r="819" spans="10:11" ht="13.2" x14ac:dyDescent="0.25">
      <c r="J819" s="22"/>
      <c r="K819" s="75"/>
    </row>
    <row r="820" spans="10:11" ht="13.2" x14ac:dyDescent="0.25">
      <c r="J820" s="22"/>
      <c r="K820" s="75"/>
    </row>
    <row r="821" spans="10:11" ht="13.2" x14ac:dyDescent="0.25">
      <c r="J821" s="22"/>
      <c r="K821" s="75"/>
    </row>
    <row r="822" spans="10:11" ht="13.2" x14ac:dyDescent="0.25">
      <c r="J822" s="22"/>
      <c r="K822" s="75"/>
    </row>
    <row r="823" spans="10:11" ht="13.2" x14ac:dyDescent="0.25">
      <c r="J823" s="22"/>
      <c r="K823" s="75"/>
    </row>
    <row r="824" spans="10:11" ht="13.2" x14ac:dyDescent="0.25">
      <c r="J824" s="22"/>
      <c r="K824" s="75"/>
    </row>
    <row r="825" spans="10:11" ht="13.2" x14ac:dyDescent="0.25">
      <c r="J825" s="22"/>
      <c r="K825" s="75"/>
    </row>
    <row r="826" spans="10:11" ht="13.2" x14ac:dyDescent="0.25">
      <c r="J826" s="22"/>
      <c r="K826" s="75"/>
    </row>
    <row r="827" spans="10:11" ht="13.2" x14ac:dyDescent="0.25">
      <c r="J827" s="22"/>
      <c r="K827" s="75"/>
    </row>
    <row r="828" spans="10:11" ht="13.2" x14ac:dyDescent="0.25">
      <c r="J828" s="22"/>
      <c r="K828" s="75"/>
    </row>
    <row r="829" spans="10:11" ht="13.2" x14ac:dyDescent="0.25">
      <c r="J829" s="22"/>
      <c r="K829" s="75"/>
    </row>
    <row r="830" spans="10:11" ht="13.2" x14ac:dyDescent="0.25">
      <c r="J830" s="22"/>
      <c r="K830" s="75"/>
    </row>
    <row r="831" spans="10:11" ht="13.2" x14ac:dyDescent="0.25">
      <c r="J831" s="22"/>
      <c r="K831" s="75"/>
    </row>
    <row r="832" spans="10:11" ht="13.2" x14ac:dyDescent="0.25">
      <c r="J832" s="22"/>
      <c r="K832" s="75"/>
    </row>
    <row r="833" spans="10:11" ht="13.2" x14ac:dyDescent="0.25">
      <c r="J833" s="22"/>
      <c r="K833" s="75"/>
    </row>
    <row r="834" spans="10:11" ht="13.2" x14ac:dyDescent="0.25">
      <c r="J834" s="22"/>
      <c r="K834" s="75"/>
    </row>
    <row r="835" spans="10:11" ht="13.2" x14ac:dyDescent="0.25">
      <c r="J835" s="22"/>
      <c r="K835" s="75"/>
    </row>
    <row r="836" spans="10:11" ht="13.2" x14ac:dyDescent="0.25">
      <c r="J836" s="22"/>
      <c r="K836" s="75"/>
    </row>
    <row r="837" spans="10:11" ht="13.2" x14ac:dyDescent="0.25">
      <c r="J837" s="22"/>
      <c r="K837" s="75"/>
    </row>
    <row r="838" spans="10:11" ht="13.2" x14ac:dyDescent="0.25">
      <c r="J838" s="22"/>
      <c r="K838" s="75"/>
    </row>
    <row r="839" spans="10:11" ht="13.2" x14ac:dyDescent="0.25">
      <c r="J839" s="22"/>
      <c r="K839" s="75"/>
    </row>
    <row r="840" spans="10:11" ht="13.2" x14ac:dyDescent="0.25">
      <c r="J840" s="22"/>
      <c r="K840" s="75"/>
    </row>
    <row r="841" spans="10:11" ht="13.2" x14ac:dyDescent="0.25">
      <c r="J841" s="22"/>
      <c r="K841" s="75"/>
    </row>
    <row r="842" spans="10:11" ht="13.2" x14ac:dyDescent="0.25">
      <c r="J842" s="22"/>
      <c r="K842" s="75"/>
    </row>
    <row r="843" spans="10:11" ht="13.2" x14ac:dyDescent="0.25">
      <c r="J843" s="22"/>
      <c r="K843" s="75"/>
    </row>
    <row r="844" spans="10:11" ht="13.2" x14ac:dyDescent="0.25">
      <c r="J844" s="22"/>
      <c r="K844" s="75"/>
    </row>
    <row r="845" spans="10:11" ht="13.2" x14ac:dyDescent="0.25">
      <c r="J845" s="22"/>
      <c r="K845" s="75"/>
    </row>
    <row r="846" spans="10:11" ht="13.2" x14ac:dyDescent="0.25">
      <c r="J846" s="22"/>
      <c r="K846" s="75"/>
    </row>
    <row r="847" spans="10:11" ht="13.2" x14ac:dyDescent="0.25">
      <c r="J847" s="22"/>
      <c r="K847" s="75"/>
    </row>
    <row r="848" spans="10:11" ht="13.2" x14ac:dyDescent="0.25">
      <c r="J848" s="22"/>
      <c r="K848" s="75"/>
    </row>
    <row r="849" spans="10:11" ht="13.2" x14ac:dyDescent="0.25">
      <c r="J849" s="22"/>
      <c r="K849" s="75"/>
    </row>
    <row r="850" spans="10:11" ht="13.2" x14ac:dyDescent="0.25">
      <c r="J850" s="22"/>
      <c r="K850" s="75"/>
    </row>
    <row r="851" spans="10:11" ht="13.2" x14ac:dyDescent="0.25">
      <c r="J851" s="22"/>
      <c r="K851" s="75"/>
    </row>
    <row r="852" spans="10:11" ht="13.2" x14ac:dyDescent="0.25">
      <c r="J852" s="22"/>
      <c r="K852" s="75"/>
    </row>
    <row r="853" spans="10:11" ht="13.2" x14ac:dyDescent="0.25">
      <c r="J853" s="22"/>
      <c r="K853" s="75"/>
    </row>
    <row r="854" spans="10:11" ht="13.2" x14ac:dyDescent="0.25">
      <c r="J854" s="22"/>
      <c r="K854" s="75"/>
    </row>
    <row r="855" spans="10:11" ht="13.2" x14ac:dyDescent="0.25">
      <c r="J855" s="22"/>
      <c r="K855" s="75"/>
    </row>
    <row r="856" spans="10:11" ht="13.2" x14ac:dyDescent="0.25">
      <c r="J856" s="22"/>
      <c r="K856" s="75"/>
    </row>
    <row r="857" spans="10:11" ht="13.2" x14ac:dyDescent="0.25">
      <c r="J857" s="22"/>
      <c r="K857" s="75"/>
    </row>
    <row r="858" spans="10:11" ht="13.2" x14ac:dyDescent="0.25">
      <c r="J858" s="22"/>
      <c r="K858" s="75"/>
    </row>
    <row r="859" spans="10:11" ht="13.2" x14ac:dyDescent="0.25">
      <c r="J859" s="22"/>
      <c r="K859" s="75"/>
    </row>
    <row r="860" spans="10:11" ht="13.2" x14ac:dyDescent="0.25">
      <c r="J860" s="22"/>
      <c r="K860" s="75"/>
    </row>
    <row r="861" spans="10:11" ht="13.2" x14ac:dyDescent="0.25">
      <c r="J861" s="22"/>
      <c r="K861" s="75"/>
    </row>
    <row r="862" spans="10:11" ht="13.2" x14ac:dyDescent="0.25">
      <c r="J862" s="22"/>
      <c r="K862" s="75"/>
    </row>
    <row r="863" spans="10:11" ht="13.2" x14ac:dyDescent="0.25">
      <c r="J863" s="22"/>
      <c r="K863" s="75"/>
    </row>
    <row r="864" spans="10:11" ht="13.2" x14ac:dyDescent="0.25">
      <c r="J864" s="22"/>
      <c r="K864" s="75"/>
    </row>
    <row r="865" spans="10:11" ht="13.2" x14ac:dyDescent="0.25">
      <c r="J865" s="22"/>
      <c r="K865" s="75"/>
    </row>
    <row r="866" spans="10:11" ht="13.2" x14ac:dyDescent="0.25">
      <c r="J866" s="22"/>
      <c r="K866" s="75"/>
    </row>
    <row r="867" spans="10:11" ht="13.2" x14ac:dyDescent="0.25">
      <c r="J867" s="22"/>
      <c r="K867" s="75"/>
    </row>
    <row r="868" spans="10:11" ht="13.2" x14ac:dyDescent="0.25">
      <c r="J868" s="22"/>
      <c r="K868" s="75"/>
    </row>
    <row r="869" spans="10:11" ht="13.2" x14ac:dyDescent="0.25">
      <c r="J869" s="22"/>
      <c r="K869" s="75"/>
    </row>
    <row r="870" spans="10:11" ht="13.2" x14ac:dyDescent="0.25">
      <c r="J870" s="22"/>
      <c r="K870" s="75"/>
    </row>
    <row r="871" spans="10:11" ht="13.2" x14ac:dyDescent="0.25">
      <c r="J871" s="22"/>
      <c r="K871" s="75"/>
    </row>
    <row r="872" spans="10:11" ht="13.2" x14ac:dyDescent="0.25">
      <c r="J872" s="22"/>
      <c r="K872" s="75"/>
    </row>
    <row r="873" spans="10:11" ht="13.2" x14ac:dyDescent="0.25">
      <c r="J873" s="22"/>
      <c r="K873" s="75"/>
    </row>
    <row r="874" spans="10:11" ht="13.2" x14ac:dyDescent="0.25">
      <c r="J874" s="22"/>
      <c r="K874" s="75"/>
    </row>
    <row r="875" spans="10:11" ht="13.2" x14ac:dyDescent="0.25">
      <c r="J875" s="22"/>
      <c r="K875" s="75"/>
    </row>
    <row r="876" spans="10:11" ht="13.2" x14ac:dyDescent="0.25">
      <c r="J876" s="22"/>
      <c r="K876" s="75"/>
    </row>
    <row r="877" spans="10:11" ht="13.2" x14ac:dyDescent="0.25">
      <c r="J877" s="22"/>
      <c r="K877" s="75"/>
    </row>
    <row r="878" spans="10:11" ht="13.2" x14ac:dyDescent="0.25">
      <c r="J878" s="22"/>
      <c r="K878" s="75"/>
    </row>
    <row r="879" spans="10:11" ht="13.2" x14ac:dyDescent="0.25">
      <c r="J879" s="22"/>
      <c r="K879" s="75"/>
    </row>
    <row r="880" spans="10:11" ht="13.2" x14ac:dyDescent="0.25">
      <c r="J880" s="22"/>
      <c r="K880" s="75"/>
    </row>
    <row r="881" spans="10:11" ht="13.2" x14ac:dyDescent="0.25">
      <c r="J881" s="22"/>
      <c r="K881" s="75"/>
    </row>
    <row r="882" spans="10:11" ht="13.2" x14ac:dyDescent="0.25">
      <c r="J882" s="22"/>
      <c r="K882" s="75"/>
    </row>
    <row r="883" spans="10:11" ht="13.2" x14ac:dyDescent="0.25">
      <c r="J883" s="22"/>
      <c r="K883" s="75"/>
    </row>
    <row r="884" spans="10:11" ht="13.2" x14ac:dyDescent="0.25">
      <c r="J884" s="22"/>
      <c r="K884" s="75"/>
    </row>
    <row r="885" spans="10:11" ht="13.2" x14ac:dyDescent="0.25">
      <c r="J885" s="22"/>
      <c r="K885" s="75"/>
    </row>
    <row r="886" spans="10:11" ht="13.2" x14ac:dyDescent="0.25">
      <c r="J886" s="22"/>
      <c r="K886" s="75"/>
    </row>
    <row r="887" spans="10:11" ht="13.2" x14ac:dyDescent="0.25">
      <c r="J887" s="22"/>
      <c r="K887" s="75"/>
    </row>
    <row r="888" spans="10:11" ht="13.2" x14ac:dyDescent="0.25">
      <c r="J888" s="22"/>
      <c r="K888" s="75"/>
    </row>
    <row r="889" spans="10:11" ht="13.2" x14ac:dyDescent="0.25">
      <c r="J889" s="22"/>
      <c r="K889" s="75"/>
    </row>
    <row r="890" spans="10:11" ht="13.2" x14ac:dyDescent="0.25">
      <c r="J890" s="22"/>
      <c r="K890" s="75"/>
    </row>
    <row r="891" spans="10:11" ht="13.2" x14ac:dyDescent="0.25">
      <c r="J891" s="22"/>
      <c r="K891" s="75"/>
    </row>
    <row r="892" spans="10:11" ht="13.2" x14ac:dyDescent="0.25">
      <c r="J892" s="22"/>
      <c r="K892" s="75"/>
    </row>
    <row r="893" spans="10:11" ht="13.2" x14ac:dyDescent="0.25">
      <c r="J893" s="22"/>
      <c r="K893" s="75"/>
    </row>
    <row r="894" spans="10:11" ht="13.2" x14ac:dyDescent="0.25">
      <c r="J894" s="22"/>
      <c r="K894" s="75"/>
    </row>
    <row r="895" spans="10:11" ht="13.2" x14ac:dyDescent="0.25">
      <c r="J895" s="22"/>
      <c r="K895" s="75"/>
    </row>
    <row r="896" spans="10:11" ht="13.2" x14ac:dyDescent="0.25">
      <c r="J896" s="22"/>
      <c r="K896" s="75"/>
    </row>
    <row r="897" spans="10:11" ht="13.2" x14ac:dyDescent="0.25">
      <c r="J897" s="22"/>
      <c r="K897" s="75"/>
    </row>
    <row r="898" spans="10:11" ht="13.2" x14ac:dyDescent="0.25">
      <c r="J898" s="22"/>
      <c r="K898" s="75"/>
    </row>
    <row r="899" spans="10:11" ht="13.2" x14ac:dyDescent="0.25">
      <c r="J899" s="22"/>
      <c r="K899" s="75"/>
    </row>
    <row r="900" spans="10:11" ht="13.2" x14ac:dyDescent="0.25">
      <c r="J900" s="22"/>
      <c r="K900" s="75"/>
    </row>
    <row r="901" spans="10:11" ht="13.2" x14ac:dyDescent="0.25">
      <c r="J901" s="22"/>
      <c r="K901" s="75"/>
    </row>
    <row r="902" spans="10:11" ht="13.2" x14ac:dyDescent="0.25">
      <c r="J902" s="22"/>
      <c r="K902" s="75"/>
    </row>
    <row r="903" spans="10:11" ht="13.2" x14ac:dyDescent="0.25">
      <c r="J903" s="22"/>
      <c r="K903" s="75"/>
    </row>
    <row r="904" spans="10:11" ht="13.2" x14ac:dyDescent="0.25">
      <c r="J904" s="22"/>
      <c r="K904" s="75"/>
    </row>
    <row r="905" spans="10:11" ht="13.2" x14ac:dyDescent="0.25">
      <c r="J905" s="22"/>
      <c r="K905" s="75"/>
    </row>
    <row r="906" spans="10:11" ht="13.2" x14ac:dyDescent="0.25">
      <c r="J906" s="22"/>
      <c r="K906" s="75"/>
    </row>
    <row r="907" spans="10:11" ht="13.2" x14ac:dyDescent="0.25">
      <c r="J907" s="22"/>
      <c r="K907" s="75"/>
    </row>
    <row r="908" spans="10:11" ht="13.2" x14ac:dyDescent="0.25">
      <c r="J908" s="22"/>
      <c r="K908" s="75"/>
    </row>
    <row r="909" spans="10:11" ht="13.2" x14ac:dyDescent="0.25">
      <c r="J909" s="22"/>
      <c r="K909" s="75"/>
    </row>
    <row r="910" spans="10:11" ht="13.2" x14ac:dyDescent="0.25">
      <c r="J910" s="22"/>
      <c r="K910" s="75"/>
    </row>
    <row r="911" spans="10:11" ht="13.2" x14ac:dyDescent="0.25">
      <c r="J911" s="22"/>
      <c r="K911" s="75"/>
    </row>
    <row r="912" spans="10:11" ht="13.2" x14ac:dyDescent="0.25">
      <c r="J912" s="22"/>
      <c r="K912" s="75"/>
    </row>
    <row r="913" spans="10:11" ht="13.2" x14ac:dyDescent="0.25">
      <c r="J913" s="22"/>
      <c r="K913" s="75"/>
    </row>
    <row r="914" spans="10:11" ht="13.2" x14ac:dyDescent="0.25">
      <c r="J914" s="22"/>
      <c r="K914" s="75"/>
    </row>
    <row r="915" spans="10:11" ht="13.2" x14ac:dyDescent="0.25">
      <c r="J915" s="22"/>
      <c r="K915" s="75"/>
    </row>
    <row r="916" spans="10:11" ht="13.2" x14ac:dyDescent="0.25">
      <c r="J916" s="22"/>
      <c r="K916" s="75"/>
    </row>
    <row r="917" spans="10:11" ht="13.2" x14ac:dyDescent="0.25">
      <c r="J917" s="22"/>
      <c r="K917" s="75"/>
    </row>
    <row r="918" spans="10:11" ht="13.2" x14ac:dyDescent="0.25">
      <c r="J918" s="22"/>
      <c r="K918" s="75"/>
    </row>
    <row r="919" spans="10:11" ht="13.2" x14ac:dyDescent="0.25">
      <c r="J919" s="22"/>
      <c r="K919" s="75"/>
    </row>
    <row r="920" spans="10:11" ht="13.2" x14ac:dyDescent="0.25">
      <c r="J920" s="22"/>
      <c r="K920" s="75"/>
    </row>
    <row r="921" spans="10:11" ht="13.2" x14ac:dyDescent="0.25">
      <c r="J921" s="22"/>
      <c r="K921" s="75"/>
    </row>
    <row r="922" spans="10:11" ht="13.2" x14ac:dyDescent="0.25">
      <c r="J922" s="22"/>
      <c r="K922" s="75"/>
    </row>
    <row r="923" spans="10:11" ht="13.2" x14ac:dyDescent="0.25">
      <c r="J923" s="22"/>
      <c r="K923" s="75"/>
    </row>
    <row r="924" spans="10:11" ht="13.2" x14ac:dyDescent="0.25">
      <c r="J924" s="22"/>
      <c r="K924" s="75"/>
    </row>
    <row r="925" spans="10:11" ht="13.2" x14ac:dyDescent="0.25">
      <c r="J925" s="22"/>
      <c r="K925" s="75"/>
    </row>
    <row r="926" spans="10:11" ht="13.2" x14ac:dyDescent="0.25">
      <c r="J926" s="22"/>
      <c r="K926" s="75"/>
    </row>
    <row r="927" spans="10:11" ht="13.2" x14ac:dyDescent="0.25">
      <c r="J927" s="22"/>
      <c r="K927" s="75"/>
    </row>
    <row r="928" spans="10:11" ht="13.2" x14ac:dyDescent="0.25">
      <c r="J928" s="22"/>
      <c r="K928" s="75"/>
    </row>
    <row r="929" spans="10:11" ht="13.2" x14ac:dyDescent="0.25">
      <c r="J929" s="22"/>
      <c r="K929" s="75"/>
    </row>
    <row r="930" spans="10:11" ht="13.2" x14ac:dyDescent="0.25">
      <c r="J930" s="22"/>
      <c r="K930" s="75"/>
    </row>
    <row r="931" spans="10:11" ht="13.2" x14ac:dyDescent="0.25">
      <c r="J931" s="22"/>
      <c r="K931" s="75"/>
    </row>
    <row r="932" spans="10:11" ht="13.2" x14ac:dyDescent="0.25">
      <c r="J932" s="22"/>
      <c r="K932" s="75"/>
    </row>
    <row r="933" spans="10:11" ht="13.2" x14ac:dyDescent="0.25">
      <c r="J933" s="22"/>
      <c r="K933" s="75"/>
    </row>
    <row r="934" spans="10:11" ht="13.2" x14ac:dyDescent="0.25">
      <c r="J934" s="22"/>
      <c r="K934" s="75"/>
    </row>
    <row r="935" spans="10:11" ht="13.2" x14ac:dyDescent="0.25">
      <c r="J935" s="22"/>
      <c r="K935" s="75"/>
    </row>
    <row r="936" spans="10:11" ht="13.2" x14ac:dyDescent="0.25">
      <c r="J936" s="22"/>
      <c r="K936" s="75"/>
    </row>
    <row r="937" spans="10:11" ht="13.2" x14ac:dyDescent="0.25">
      <c r="J937" s="22"/>
      <c r="K937" s="75"/>
    </row>
    <row r="938" spans="10:11" ht="13.2" x14ac:dyDescent="0.25">
      <c r="J938" s="22"/>
      <c r="K938" s="75"/>
    </row>
    <row r="939" spans="10:11" ht="13.2" x14ac:dyDescent="0.25">
      <c r="J939" s="22"/>
      <c r="K939" s="75"/>
    </row>
    <row r="940" spans="10:11" ht="13.2" x14ac:dyDescent="0.25">
      <c r="J940" s="22"/>
      <c r="K940" s="75"/>
    </row>
    <row r="941" spans="10:11" ht="13.2" x14ac:dyDescent="0.25">
      <c r="J941" s="22"/>
      <c r="K941" s="75"/>
    </row>
    <row r="942" spans="10:11" ht="13.2" x14ac:dyDescent="0.25">
      <c r="J942" s="22"/>
      <c r="K942" s="75"/>
    </row>
    <row r="943" spans="10:11" ht="13.2" x14ac:dyDescent="0.25">
      <c r="J943" s="22"/>
      <c r="K943" s="75"/>
    </row>
    <row r="944" spans="10:11" ht="13.2" x14ac:dyDescent="0.25">
      <c r="J944" s="22"/>
      <c r="K944" s="75"/>
    </row>
    <row r="945" spans="10:11" ht="13.2" x14ac:dyDescent="0.25">
      <c r="J945" s="22"/>
      <c r="K945" s="75"/>
    </row>
    <row r="946" spans="10:11" ht="13.2" x14ac:dyDescent="0.25">
      <c r="J946" s="22"/>
      <c r="K946" s="75"/>
    </row>
    <row r="947" spans="10:11" ht="13.2" x14ac:dyDescent="0.25">
      <c r="J947" s="22"/>
      <c r="K947" s="75"/>
    </row>
    <row r="948" spans="10:11" ht="13.2" x14ac:dyDescent="0.25">
      <c r="J948" s="22"/>
      <c r="K948" s="75"/>
    </row>
    <row r="949" spans="10:11" ht="13.2" x14ac:dyDescent="0.25">
      <c r="J949" s="22"/>
      <c r="K949" s="75"/>
    </row>
    <row r="950" spans="10:11" ht="13.2" x14ac:dyDescent="0.25">
      <c r="J950" s="22"/>
      <c r="K950" s="75"/>
    </row>
    <row r="951" spans="10:11" ht="13.2" x14ac:dyDescent="0.25">
      <c r="J951" s="22"/>
      <c r="K951" s="75"/>
    </row>
    <row r="952" spans="10:11" ht="13.2" x14ac:dyDescent="0.25">
      <c r="J952" s="22"/>
      <c r="K952" s="75"/>
    </row>
    <row r="953" spans="10:11" ht="13.2" x14ac:dyDescent="0.25">
      <c r="J953" s="22"/>
      <c r="K953" s="75"/>
    </row>
    <row r="954" spans="10:11" ht="13.2" x14ac:dyDescent="0.25">
      <c r="J954" s="22"/>
      <c r="K954" s="75"/>
    </row>
    <row r="955" spans="10:11" ht="13.2" x14ac:dyDescent="0.25">
      <c r="J955" s="22"/>
      <c r="K955" s="75"/>
    </row>
    <row r="956" spans="10:11" ht="13.2" x14ac:dyDescent="0.25">
      <c r="J956" s="22"/>
      <c r="K956" s="75"/>
    </row>
    <row r="957" spans="10:11" ht="13.2" x14ac:dyDescent="0.25">
      <c r="J957" s="22"/>
      <c r="K957" s="75"/>
    </row>
    <row r="958" spans="10:11" ht="13.2" x14ac:dyDescent="0.25">
      <c r="J958" s="22"/>
      <c r="K958" s="75"/>
    </row>
    <row r="959" spans="10:11" ht="13.2" x14ac:dyDescent="0.25">
      <c r="J959" s="22"/>
      <c r="K959" s="75"/>
    </row>
    <row r="960" spans="10:11" ht="13.2" x14ac:dyDescent="0.25">
      <c r="J960" s="22"/>
      <c r="K960" s="75"/>
    </row>
    <row r="961" spans="10:11" ht="13.2" x14ac:dyDescent="0.25">
      <c r="J961" s="22"/>
      <c r="K961" s="75"/>
    </row>
    <row r="962" spans="10:11" ht="13.2" x14ac:dyDescent="0.25">
      <c r="J962" s="22"/>
      <c r="K962" s="75"/>
    </row>
    <row r="963" spans="10:11" ht="13.2" x14ac:dyDescent="0.25">
      <c r="J963" s="22"/>
      <c r="K963" s="75"/>
    </row>
    <row r="964" spans="10:11" ht="13.2" x14ac:dyDescent="0.25">
      <c r="J964" s="22"/>
      <c r="K964" s="75"/>
    </row>
    <row r="965" spans="10:11" ht="13.2" x14ac:dyDescent="0.25">
      <c r="J965" s="22"/>
      <c r="K965" s="75"/>
    </row>
    <row r="966" spans="10:11" ht="13.2" x14ac:dyDescent="0.25">
      <c r="J966" s="22"/>
      <c r="K966" s="75"/>
    </row>
    <row r="967" spans="10:11" ht="13.2" x14ac:dyDescent="0.25">
      <c r="J967" s="22"/>
      <c r="K967" s="75"/>
    </row>
    <row r="968" spans="10:11" ht="13.2" x14ac:dyDescent="0.25">
      <c r="J968" s="22"/>
      <c r="K968" s="75"/>
    </row>
    <row r="969" spans="10:11" ht="13.2" x14ac:dyDescent="0.25">
      <c r="J969" s="22"/>
      <c r="K969" s="75"/>
    </row>
    <row r="970" spans="10:11" ht="13.2" x14ac:dyDescent="0.25">
      <c r="J970" s="22"/>
      <c r="K970" s="75"/>
    </row>
    <row r="971" spans="10:11" ht="13.2" x14ac:dyDescent="0.25">
      <c r="J971" s="22"/>
      <c r="K971" s="75"/>
    </row>
    <row r="972" spans="10:11" ht="13.2" x14ac:dyDescent="0.25">
      <c r="J972" s="22"/>
      <c r="K972" s="75"/>
    </row>
    <row r="973" spans="10:11" ht="13.2" x14ac:dyDescent="0.25">
      <c r="J973" s="22"/>
      <c r="K973" s="75"/>
    </row>
    <row r="974" spans="10:11" ht="13.2" x14ac:dyDescent="0.25">
      <c r="J974" s="22"/>
      <c r="K974" s="75"/>
    </row>
    <row r="975" spans="10:11" ht="13.2" x14ac:dyDescent="0.25">
      <c r="J975" s="22"/>
      <c r="K975" s="75"/>
    </row>
    <row r="976" spans="10:11" ht="13.2" x14ac:dyDescent="0.25">
      <c r="J976" s="22"/>
      <c r="K976" s="75"/>
    </row>
    <row r="977" spans="10:11" ht="13.2" x14ac:dyDescent="0.25">
      <c r="J977" s="22"/>
      <c r="K977" s="75"/>
    </row>
    <row r="978" spans="10:11" ht="13.2" x14ac:dyDescent="0.25">
      <c r="J978" s="22"/>
      <c r="K978" s="75"/>
    </row>
    <row r="979" spans="10:11" ht="13.2" x14ac:dyDescent="0.25">
      <c r="J979" s="22"/>
      <c r="K979" s="75"/>
    </row>
    <row r="980" spans="10:11" ht="13.2" x14ac:dyDescent="0.25">
      <c r="J980" s="22"/>
      <c r="K980" s="75"/>
    </row>
    <row r="981" spans="10:11" ht="13.2" x14ac:dyDescent="0.25">
      <c r="J981" s="22"/>
      <c r="K981" s="75"/>
    </row>
    <row r="982" spans="10:11" ht="13.2" x14ac:dyDescent="0.25">
      <c r="J982" s="22"/>
      <c r="K982" s="75"/>
    </row>
    <row r="983" spans="10:11" ht="13.2" x14ac:dyDescent="0.25">
      <c r="J983" s="22"/>
      <c r="K983" s="75"/>
    </row>
    <row r="984" spans="10:11" ht="13.2" x14ac:dyDescent="0.25">
      <c r="J984" s="22"/>
      <c r="K984" s="75"/>
    </row>
    <row r="985" spans="10:11" ht="13.2" x14ac:dyDescent="0.25">
      <c r="J985" s="22"/>
      <c r="K985" s="75"/>
    </row>
    <row r="986" spans="10:11" ht="13.2" x14ac:dyDescent="0.25">
      <c r="J986" s="22"/>
      <c r="K986" s="75"/>
    </row>
    <row r="987" spans="10:11" ht="13.2" x14ac:dyDescent="0.25">
      <c r="J987" s="22"/>
      <c r="K987" s="75"/>
    </row>
    <row r="988" spans="10:11" ht="13.2" x14ac:dyDescent="0.25">
      <c r="J988" s="22"/>
      <c r="K988" s="75"/>
    </row>
    <row r="989" spans="10:11" ht="13.2" x14ac:dyDescent="0.25">
      <c r="J989" s="22"/>
      <c r="K989" s="75"/>
    </row>
    <row r="990" spans="10:11" ht="13.2" x14ac:dyDescent="0.25">
      <c r="J990" s="22"/>
      <c r="K990" s="75"/>
    </row>
    <row r="991" spans="10:11" ht="13.2" x14ac:dyDescent="0.25">
      <c r="J991" s="22"/>
      <c r="K991" s="75"/>
    </row>
    <row r="992" spans="10:11" ht="13.2" x14ac:dyDescent="0.25">
      <c r="J992" s="22"/>
      <c r="K992" s="75"/>
    </row>
    <row r="993" spans="10:11" ht="13.2" x14ac:dyDescent="0.25">
      <c r="J993" s="22"/>
      <c r="K993" s="75"/>
    </row>
    <row r="994" spans="10:11" ht="13.2" x14ac:dyDescent="0.25">
      <c r="J994" s="22"/>
      <c r="K994" s="75"/>
    </row>
    <row r="995" spans="10:11" ht="13.2" x14ac:dyDescent="0.25">
      <c r="J995" s="22"/>
      <c r="K995" s="75"/>
    </row>
    <row r="996" spans="10:11" ht="13.2" x14ac:dyDescent="0.25">
      <c r="J996" s="22"/>
      <c r="K996" s="75"/>
    </row>
    <row r="997" spans="10:11" ht="13.2" x14ac:dyDescent="0.25">
      <c r="J997" s="22"/>
      <c r="K997" s="75"/>
    </row>
    <row r="998" spans="10:11" ht="13.2" x14ac:dyDescent="0.25">
      <c r="J998" s="22"/>
      <c r="K998" s="75"/>
    </row>
    <row r="999" spans="10:11" ht="13.2" x14ac:dyDescent="0.25">
      <c r="J999" s="22"/>
      <c r="K999" s="75"/>
    </row>
    <row r="1000" spans="10:11" ht="13.2" x14ac:dyDescent="0.25">
      <c r="J1000" s="22"/>
      <c r="K1000" s="75"/>
    </row>
    <row r="1001" spans="10:11" ht="13.2" x14ac:dyDescent="0.25">
      <c r="J1001" s="22"/>
      <c r="K1001" s="75"/>
    </row>
    <row r="1002" spans="10:11" ht="13.2" x14ac:dyDescent="0.25">
      <c r="J1002" s="22"/>
      <c r="K1002" s="75"/>
    </row>
    <row r="1003" spans="10:11" ht="13.2" x14ac:dyDescent="0.25">
      <c r="J1003" s="22"/>
      <c r="K1003" s="75"/>
    </row>
    <row r="1004" spans="10:11" ht="13.2" x14ac:dyDescent="0.25">
      <c r="J1004" s="22"/>
      <c r="K1004" s="75"/>
    </row>
    <row r="1005" spans="10:11" ht="13.2" x14ac:dyDescent="0.25">
      <c r="J1005" s="22"/>
      <c r="K1005" s="75"/>
    </row>
    <row r="1006" spans="10:11" ht="13.2" x14ac:dyDescent="0.25">
      <c r="J1006" s="22"/>
      <c r="K1006" s="75"/>
    </row>
    <row r="1007" spans="10:11" ht="13.2" x14ac:dyDescent="0.25">
      <c r="J1007" s="22"/>
      <c r="K1007" s="75"/>
    </row>
    <row r="1008" spans="10:11" ht="13.2" x14ac:dyDescent="0.25">
      <c r="J1008" s="22"/>
      <c r="K1008" s="75"/>
    </row>
    <row r="1009" spans="10:11" ht="13.2" x14ac:dyDescent="0.25">
      <c r="J1009" s="22"/>
      <c r="K1009" s="75"/>
    </row>
    <row r="1010" spans="10:11" ht="13.2" x14ac:dyDescent="0.25">
      <c r="J1010" s="22"/>
      <c r="K1010" s="75"/>
    </row>
    <row r="1011" spans="10:11" ht="13.2" x14ac:dyDescent="0.25">
      <c r="J1011" s="22"/>
      <c r="K1011" s="75"/>
    </row>
    <row r="1012" spans="10:11" ht="13.2" x14ac:dyDescent="0.25">
      <c r="J1012" s="22"/>
      <c r="K1012" s="75"/>
    </row>
    <row r="1013" spans="10:11" ht="13.2" x14ac:dyDescent="0.25">
      <c r="J1013" s="22"/>
      <c r="K1013" s="75"/>
    </row>
    <row r="1014" spans="10:11" ht="13.2" x14ac:dyDescent="0.25">
      <c r="J1014" s="22"/>
      <c r="K1014" s="75"/>
    </row>
    <row r="1015" spans="10:11" ht="13.2" x14ac:dyDescent="0.25">
      <c r="J1015" s="22"/>
      <c r="K1015" s="75"/>
    </row>
    <row r="1016" spans="10:11" ht="13.2" x14ac:dyDescent="0.25">
      <c r="J1016" s="22"/>
      <c r="K1016" s="75"/>
    </row>
    <row r="1017" spans="10:11" ht="13.2" x14ac:dyDescent="0.25">
      <c r="J1017" s="22"/>
      <c r="K1017" s="75"/>
    </row>
    <row r="1018" spans="10:11" ht="13.2" x14ac:dyDescent="0.25">
      <c r="J1018" s="22"/>
      <c r="K1018" s="75"/>
    </row>
    <row r="1019" spans="10:11" ht="13.2" x14ac:dyDescent="0.25">
      <c r="J1019" s="22"/>
      <c r="K1019" s="75"/>
    </row>
    <row r="1020" spans="10:11" ht="13.2" x14ac:dyDescent="0.25">
      <c r="J1020" s="22"/>
      <c r="K1020" s="75"/>
    </row>
    <row r="1021" spans="10:11" ht="13.2" x14ac:dyDescent="0.25">
      <c r="J1021" s="22"/>
      <c r="K1021" s="75"/>
    </row>
    <row r="1022" spans="10:11" ht="13.2" x14ac:dyDescent="0.25">
      <c r="J1022" s="22"/>
      <c r="K1022" s="75"/>
    </row>
    <row r="1023" spans="10:11" ht="13.2" x14ac:dyDescent="0.25">
      <c r="J1023" s="22"/>
      <c r="K1023" s="75"/>
    </row>
    <row r="1024" spans="10:11" ht="13.2" x14ac:dyDescent="0.25">
      <c r="J1024" s="22"/>
      <c r="K1024" s="75"/>
    </row>
  </sheetData>
  <mergeCells count="25">
    <mergeCell ref="B180:H180"/>
    <mergeCell ref="B188:H188"/>
    <mergeCell ref="B196:H196"/>
    <mergeCell ref="B116:H116"/>
    <mergeCell ref="B124:H124"/>
    <mergeCell ref="B132:H132"/>
    <mergeCell ref="B140:H140"/>
    <mergeCell ref="B148:H148"/>
    <mergeCell ref="B156:H156"/>
    <mergeCell ref="B164:H164"/>
    <mergeCell ref="B84:H84"/>
    <mergeCell ref="B92:H92"/>
    <mergeCell ref="B100:H100"/>
    <mergeCell ref="B108:H108"/>
    <mergeCell ref="B172:H172"/>
    <mergeCell ref="B44:H44"/>
    <mergeCell ref="B52:H52"/>
    <mergeCell ref="B60:H60"/>
    <mergeCell ref="B68:H68"/>
    <mergeCell ref="B76:H76"/>
    <mergeCell ref="B4:H4"/>
    <mergeCell ref="B12:H12"/>
    <mergeCell ref="B20:H20"/>
    <mergeCell ref="B28:H28"/>
    <mergeCell ref="B36:H36"/>
  </mergeCells>
  <dataValidations count="2">
    <dataValidation type="custom" allowBlank="1" showDropDown="1" showInputMessage="1" showErrorMessage="1" prompt="Ide csak időeredmény (pl: 4:33,9) vagy DNS, DNF, DQ jelzések lehetnek!" sqref="I4:I201" xr:uid="{00000000-0002-0000-0800-000000000000}">
      <formula1>REGEXMATCH(I4,"^\d{1,2}:\d\d,\d{1,2}$|^DNS$|^DNF$|^DQ$")</formula1>
    </dataValidation>
    <dataValidation type="custom" allowBlank="1" showDropDown="1" showInputMessage="1" showErrorMessage="1" prompt="Ebbe a cellába csak 2011 és 2014 közötti értéket kell megadni!" sqref="D5:D9 H5:H9 D13:D17 H13:H17 D21:D25 H21:H25 D29:D33 H29:H33 D37:D41 H37:H41 D45:D49 H45:H49 D53:D57 H53:H57 D61:D65 H61:H65 D69:D73 H69:H73 D77:D81 H77:H81 D85:D89 H85:H89 D93:D97 H93:H97 D101:D105 H101:H105 D109:D113 H109:H113 D117:D121 H117:H121 D125:D129 H125:H129 D133:D137 H133:H137 D141:D145 H141:H145 D149:D153 H149:H153 D157:D161 H157:H161 D165:D169 H165:H169 D173:D177 H173:H177 D181:D185 H181:H185 D189:D193 H189:H193 D197:D201 H197:H201" xr:uid="{00000000-0002-0000-0800-000001000000}">
      <formula1>OR(D5 = "2011", D5="2012",  D5="2013", D5="2014")</formula1>
    </dataValidation>
  </dataValidations>
  <printOptions horizontalCentered="1" gridLines="1"/>
  <pageMargins left="0.7" right="0.7" top="0.75" bottom="0.75" header="0" footer="0"/>
  <pageSetup paperSize="9" pageOrder="overThenDown" orientation="landscape" cellComments="atEnd"/>
  <rowBreaks count="3" manualBreakCount="3">
    <brk id="51" man="1"/>
    <brk id="75" man="1"/>
    <brk id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Fmagas</vt:lpstr>
      <vt:lpstr>Ftávol</vt:lpstr>
      <vt:lpstr>Fsúly</vt:lpstr>
      <vt:lpstr>Fkislabda</vt:lpstr>
      <vt:lpstr>Lmagas</vt:lpstr>
      <vt:lpstr>Ltávol</vt:lpstr>
      <vt:lpstr>Lsúly</vt:lpstr>
      <vt:lpstr>Lkislabda</vt:lpstr>
      <vt:lpstr>Váltó</vt:lpstr>
      <vt:lpstr>Iskolák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Diána Molnár</cp:lastModifiedBy>
  <dcterms:created xsi:type="dcterms:W3CDTF">2025-09-23T07:24:43Z</dcterms:created>
  <dcterms:modified xsi:type="dcterms:W3CDTF">2025-09-23T07:24:43Z</dcterms:modified>
</cp:coreProperties>
</file>